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360" yWindow="276" windowWidth="11316" windowHeight="5256" tabRatio="644"/>
  </bookViews>
  <sheets>
    <sheet name="Protokol 5 Teams" sheetId="13" r:id="rId1"/>
    <sheet name="Pořadí zápasů 5 Teams_Spielplan" sheetId="52" r:id="rId2"/>
  </sheets>
  <definedNames>
    <definedName name="_xlnm.Print_Titles" localSheetId="1">'Pořadí zápasů 5 Teams_Spielplan'!$4:$5</definedName>
    <definedName name="_xlnm.Print_Area" localSheetId="1">'Pořadí zápasů 5 Teams_Spielplan'!$A:$N</definedName>
    <definedName name="_xlnm.Print_Area" localSheetId="0">'Protokol 5 Teams'!$A:$AH</definedName>
  </definedNames>
  <calcPr calcId="152511"/>
</workbook>
</file>

<file path=xl/calcChain.xml><?xml version="1.0" encoding="utf-8"?>
<calcChain xmlns="http://schemas.openxmlformats.org/spreadsheetml/2006/main">
  <c r="AH34" i="13" l="1"/>
  <c r="K26" i="52"/>
  <c r="E47" i="13" l="1"/>
  <c r="F11" i="13"/>
  <c r="W11" i="13"/>
  <c r="A39" i="13" l="1"/>
  <c r="AD47" i="13" l="1"/>
  <c r="AA47" i="13"/>
  <c r="AG46" i="13"/>
  <c r="AW46" i="13" s="1"/>
  <c r="AU46" i="13"/>
  <c r="AD46" i="13"/>
  <c r="AA46" i="13"/>
  <c r="AD43" i="13"/>
  <c r="AA43" i="13"/>
  <c r="N43" i="13"/>
  <c r="AA42" i="13"/>
  <c r="AD42" i="13"/>
  <c r="AG42" i="13"/>
  <c r="AW42" i="13" s="1"/>
  <c r="AE42" i="13"/>
  <c r="AU42" i="13" s="1"/>
  <c r="AE45" i="13"/>
  <c r="AE41" i="13"/>
  <c r="AA45" i="13"/>
  <c r="AA41" i="13"/>
  <c r="S45" i="13"/>
  <c r="S41" i="13"/>
  <c r="N45" i="13"/>
  <c r="N41" i="13"/>
  <c r="AR35" i="13"/>
  <c r="AQ35" i="13"/>
  <c r="AP35" i="13"/>
  <c r="AO35" i="13"/>
  <c r="AR34" i="13"/>
  <c r="AQ34" i="13"/>
  <c r="AP34" i="13"/>
  <c r="AO34" i="13"/>
  <c r="AR33" i="13"/>
  <c r="AQ33" i="13"/>
  <c r="AP33" i="13"/>
  <c r="AO33" i="13"/>
  <c r="AR32" i="13"/>
  <c r="AQ32" i="13"/>
  <c r="AP32" i="13"/>
  <c r="AO32" i="13"/>
  <c r="AR31" i="13"/>
  <c r="AQ31" i="13"/>
  <c r="AP31" i="13"/>
  <c r="AO31" i="13"/>
  <c r="B45" i="13"/>
  <c r="B41" i="13"/>
  <c r="B30" i="13"/>
  <c r="AU47" i="13" l="1"/>
  <c r="BA46" i="13"/>
  <c r="AW47" i="13"/>
  <c r="BA47" i="13" s="1"/>
  <c r="AW43" i="13"/>
  <c r="AU43" i="13"/>
  <c r="BA42" i="13"/>
  <c r="N22" i="52"/>
  <c r="AG47" i="13" s="1"/>
  <c r="AZ46" i="13" s="1"/>
  <c r="AX47" i="13" s="1"/>
  <c r="L22" i="52"/>
  <c r="AE47" i="13" s="1"/>
  <c r="AX46" i="13" s="1"/>
  <c r="AZ47" i="13" s="1"/>
  <c r="N19" i="52"/>
  <c r="AG43" i="13" s="1"/>
  <c r="AZ42" i="13" s="1"/>
  <c r="AX43" i="13" s="1"/>
  <c r="L19" i="52"/>
  <c r="AE43" i="13" s="1"/>
  <c r="AX42" i="13" s="1"/>
  <c r="BA43" i="13" l="1"/>
  <c r="BB42" i="13"/>
  <c r="BC42" i="13" s="1"/>
  <c r="AZ43" i="13"/>
  <c r="BB43" i="13" s="1"/>
  <c r="BC43" i="13" s="1"/>
  <c r="BB47" i="13"/>
  <c r="BC47" i="13" s="1"/>
  <c r="BB46" i="13"/>
  <c r="BC46" i="13" s="1"/>
  <c r="F31" i="13"/>
  <c r="Q31" i="13" l="1"/>
  <c r="AA31" i="52" l="1"/>
  <c r="Z31" i="52"/>
  <c r="Y31" i="52"/>
  <c r="X31" i="52"/>
  <c r="AA30" i="52"/>
  <c r="Z30" i="52"/>
  <c r="Y30" i="52"/>
  <c r="X30" i="52"/>
  <c r="Q34" i="13" l="1"/>
  <c r="O34" i="13"/>
  <c r="Q33" i="13"/>
  <c r="O33" i="13"/>
  <c r="Q32" i="13"/>
  <c r="O32" i="13"/>
  <c r="N32" i="13"/>
  <c r="L32" i="13"/>
  <c r="K32" i="13"/>
  <c r="I32" i="13"/>
  <c r="O31" i="13"/>
  <c r="N31" i="13"/>
  <c r="L31" i="13"/>
  <c r="K31" i="13"/>
  <c r="I31" i="13"/>
  <c r="E15" i="52"/>
  <c r="C15" i="52"/>
  <c r="E14" i="52"/>
  <c r="C14" i="52"/>
  <c r="E13" i="52"/>
  <c r="C13" i="52"/>
  <c r="E12" i="52"/>
  <c r="C12" i="52"/>
  <c r="E11" i="52"/>
  <c r="C11" i="52"/>
  <c r="E10" i="52"/>
  <c r="C10" i="52"/>
  <c r="E9" i="52"/>
  <c r="C9" i="52"/>
  <c r="E8" i="52"/>
  <c r="C8" i="52"/>
  <c r="E7" i="52"/>
  <c r="C7" i="52"/>
  <c r="E6" i="52"/>
  <c r="C6" i="52"/>
  <c r="AM65" i="13" l="1"/>
  <c r="AN65" i="13"/>
  <c r="L35" i="13"/>
  <c r="F35" i="13"/>
  <c r="C35" i="13"/>
  <c r="AE35" i="13" s="1"/>
  <c r="N35" i="13"/>
  <c r="K35" i="13"/>
  <c r="E35" i="13"/>
  <c r="AG35" i="13" s="1"/>
  <c r="AU68" i="13" s="1"/>
  <c r="N33" i="13"/>
  <c r="I34" i="13" s="1"/>
  <c r="F34" i="13"/>
  <c r="C34" i="13"/>
  <c r="L33" i="13"/>
  <c r="K34" i="13" s="1"/>
  <c r="E34" i="13"/>
  <c r="F33" i="13"/>
  <c r="C33" i="13"/>
  <c r="H33" i="13"/>
  <c r="E33" i="13"/>
  <c r="H31" i="13"/>
  <c r="C32" i="13" s="1"/>
  <c r="P2" i="52"/>
  <c r="X24" i="52"/>
  <c r="Y23" i="52"/>
  <c r="Z16" i="52"/>
  <c r="Z15" i="52"/>
  <c r="X14" i="52"/>
  <c r="Y12" i="52"/>
  <c r="X12" i="52"/>
  <c r="Z11" i="52"/>
  <c r="Z10" i="52"/>
  <c r="Z8" i="52"/>
  <c r="AA24" i="52"/>
  <c r="AA23" i="52"/>
  <c r="AA16" i="52"/>
  <c r="AA15" i="52"/>
  <c r="AA12" i="52"/>
  <c r="AA9" i="52"/>
  <c r="AA8" i="52"/>
  <c r="Z24" i="52"/>
  <c r="Z23" i="52"/>
  <c r="Z14" i="52"/>
  <c r="Z13" i="52"/>
  <c r="Z12" i="52"/>
  <c r="Z7" i="52"/>
  <c r="Z6" i="52"/>
  <c r="Y24" i="52"/>
  <c r="Y16" i="52"/>
  <c r="Y15" i="52"/>
  <c r="Y14" i="52"/>
  <c r="Y13" i="52"/>
  <c r="Y11" i="52"/>
  <c r="Y10" i="52"/>
  <c r="Y8" i="52"/>
  <c r="Y7" i="52"/>
  <c r="Y6" i="52"/>
  <c r="X23" i="52"/>
  <c r="X16" i="52"/>
  <c r="X15" i="52"/>
  <c r="X9" i="52"/>
  <c r="X8" i="52"/>
  <c r="AL69" i="13"/>
  <c r="B16" i="13"/>
  <c r="B15" i="13"/>
  <c r="B34" i="13" s="1"/>
  <c r="B14" i="13"/>
  <c r="B13" i="13"/>
  <c r="B12" i="13"/>
  <c r="AN69" i="13"/>
  <c r="AN68" i="13"/>
  <c r="AN67" i="13"/>
  <c r="AN66" i="13"/>
  <c r="AN64" i="13"/>
  <c r="AM69" i="13"/>
  <c r="AM68" i="13"/>
  <c r="AM67" i="13"/>
  <c r="AM66" i="13"/>
  <c r="AM64" i="13"/>
  <c r="H35" i="13"/>
  <c r="C63" i="13"/>
  <c r="AJ2" i="13"/>
  <c r="Z9" i="52"/>
  <c r="AJ3" i="13"/>
  <c r="B63" i="13"/>
  <c r="A63" i="13"/>
  <c r="A61" i="13"/>
  <c r="Q56" i="13"/>
  <c r="B56" i="13"/>
  <c r="AC37" i="13"/>
  <c r="A49" i="13"/>
  <c r="AH30" i="13"/>
  <c r="AE30" i="13"/>
  <c r="AD30" i="13"/>
  <c r="A28" i="13"/>
  <c r="U23" i="13"/>
  <c r="B25" i="13"/>
  <c r="B24" i="13"/>
  <c r="B23" i="13"/>
  <c r="A21" i="13"/>
  <c r="AG11" i="13"/>
  <c r="R11" i="13"/>
  <c r="B11" i="13"/>
  <c r="A9" i="13"/>
  <c r="Q7" i="13"/>
  <c r="B7" i="13"/>
  <c r="B6" i="13"/>
  <c r="O5" i="13"/>
  <c r="B5" i="13"/>
  <c r="B4" i="13"/>
  <c r="A2" i="13"/>
  <c r="H34" i="13"/>
  <c r="Y9" i="52"/>
  <c r="AA11" i="52"/>
  <c r="AA14" i="52"/>
  <c r="AA7" i="52"/>
  <c r="X11" i="52"/>
  <c r="X7" i="52"/>
  <c r="AA10" i="52"/>
  <c r="AA13" i="52"/>
  <c r="AA6" i="52"/>
  <c r="X10" i="52"/>
  <c r="X13" i="52"/>
  <c r="X6" i="52"/>
  <c r="E32" i="13"/>
  <c r="AG32" i="13" s="1"/>
  <c r="B32" i="13" l="1"/>
  <c r="AN32" i="13"/>
  <c r="AL66" i="13"/>
  <c r="AN33" i="13"/>
  <c r="AL67" i="13"/>
  <c r="AN34" i="13"/>
  <c r="AL64" i="13"/>
  <c r="AN31" i="13"/>
  <c r="B35" i="13"/>
  <c r="AN35" i="13"/>
  <c r="A2" i="52"/>
  <c r="F22" i="52"/>
  <c r="F19" i="52"/>
  <c r="C20" i="52"/>
  <c r="C17" i="52"/>
  <c r="AE34" i="13"/>
  <c r="AT67" i="13" s="1"/>
  <c r="AU65" i="13"/>
  <c r="B33" i="13"/>
  <c r="E4" i="52"/>
  <c r="S4" i="52"/>
  <c r="F4" i="52"/>
  <c r="G5" i="52"/>
  <c r="P5" i="52"/>
  <c r="L4" i="52"/>
  <c r="A4" i="52"/>
  <c r="G4" i="52"/>
  <c r="H5" i="52"/>
  <c r="C4" i="52"/>
  <c r="I4" i="52"/>
  <c r="P4" i="52"/>
  <c r="AL65" i="13"/>
  <c r="AL68" i="13"/>
  <c r="B31" i="13"/>
  <c r="AG34" i="13"/>
  <c r="AU67" i="13" s="1"/>
  <c r="AT68" i="13"/>
  <c r="I35" i="13"/>
  <c r="AD35" i="13" s="1"/>
  <c r="AE32" i="13"/>
  <c r="AT65" i="13" s="1"/>
  <c r="AD32" i="13"/>
  <c r="AG33" i="13"/>
  <c r="AU66" i="13" s="1"/>
  <c r="AE31" i="13"/>
  <c r="AD31" i="13"/>
  <c r="W7" i="52"/>
  <c r="AU69" i="13"/>
  <c r="AG31" i="13"/>
  <c r="AU64" i="13" s="1"/>
  <c r="W6" i="52"/>
  <c r="W9" i="52"/>
  <c r="W11" i="52"/>
  <c r="W10" i="52"/>
  <c r="U11" i="52"/>
  <c r="U8" i="52"/>
  <c r="AE33" i="13"/>
  <c r="AT66" i="13" s="1"/>
  <c r="U7" i="52"/>
  <c r="W8" i="52"/>
  <c r="U9" i="52"/>
  <c r="AT69" i="13"/>
  <c r="AD34" i="13"/>
  <c r="AS67" i="13" s="1"/>
  <c r="AD33" i="13"/>
  <c r="AS66" i="13" s="1"/>
  <c r="U10" i="52"/>
  <c r="U6" i="52"/>
  <c r="F28" i="52" l="1"/>
  <c r="F26" i="52"/>
  <c r="F27" i="52"/>
  <c r="F25" i="52"/>
  <c r="AM34" i="13"/>
  <c r="AR68" i="13"/>
  <c r="AR69" i="13"/>
  <c r="AP64" i="13"/>
  <c r="AR67" i="13"/>
  <c r="AR65" i="13"/>
  <c r="AP65" i="13"/>
  <c r="AR66" i="13"/>
  <c r="AP69" i="13"/>
  <c r="AR64" i="13"/>
  <c r="AS64" i="13"/>
  <c r="AH35" i="13"/>
  <c r="AH31" i="13"/>
  <c r="AH33" i="13"/>
  <c r="AG37" i="13"/>
  <c r="AS65" i="13"/>
  <c r="AH32" i="13"/>
  <c r="AE37" i="13"/>
  <c r="AD37" i="13"/>
  <c r="AI35" i="13"/>
  <c r="AI33" i="13"/>
  <c r="AT64" i="13"/>
  <c r="AI32" i="13"/>
  <c r="AI31" i="13"/>
  <c r="AP68" i="13"/>
  <c r="AS69" i="13"/>
  <c r="AK69" i="13"/>
  <c r="AS68" i="13"/>
  <c r="AO69" i="13"/>
  <c r="V11" i="52"/>
  <c r="AI34" i="13"/>
  <c r="AP67" i="13"/>
  <c r="AP66" i="13"/>
  <c r="K27" i="52" l="1"/>
  <c r="K25" i="52"/>
  <c r="AK67" i="13"/>
  <c r="AK65" i="13"/>
  <c r="AM32" i="13"/>
  <c r="AK64" i="13"/>
  <c r="AM31" i="13"/>
  <c r="AK68" i="13"/>
  <c r="C68" i="13" s="1"/>
  <c r="AM35" i="13"/>
  <c r="AK66" i="13"/>
  <c r="AM33" i="13"/>
  <c r="AQ69" i="13"/>
  <c r="AI37" i="13"/>
  <c r="K29" i="52" l="1"/>
  <c r="B68" i="13"/>
  <c r="AR47" i="13"/>
  <c r="AR46" i="13"/>
  <c r="AR43" i="13"/>
  <c r="AP42" i="13"/>
  <c r="AQ47" i="13"/>
  <c r="AQ46" i="13"/>
  <c r="AR42" i="13"/>
  <c r="AO42" i="13"/>
  <c r="AP47" i="13"/>
  <c r="AP46" i="13"/>
  <c r="AQ42" i="13"/>
  <c r="AO47" i="13"/>
  <c r="AO46" i="13"/>
  <c r="AP43" i="13"/>
  <c r="B42" i="13"/>
  <c r="D42" i="13"/>
  <c r="D46" i="13"/>
  <c r="B46" i="13"/>
  <c r="AO43" i="13"/>
  <c r="AQ43" i="13"/>
  <c r="K68" i="13"/>
  <c r="AA29" i="52" l="1"/>
  <c r="X29" i="52"/>
  <c r="Z29" i="52"/>
  <c r="Y29" i="52"/>
  <c r="AT46" i="13"/>
  <c r="BD46" i="13" s="1"/>
  <c r="AN46" i="13"/>
  <c r="C21" i="52"/>
  <c r="AT47" i="13"/>
  <c r="BD47" i="13" s="1"/>
  <c r="AN47" i="13"/>
  <c r="E21" i="52"/>
  <c r="AT43" i="13"/>
  <c r="BD43" i="13" s="1"/>
  <c r="E18" i="52"/>
  <c r="AN43" i="13"/>
  <c r="AT42" i="13"/>
  <c r="BD42" i="13" s="1"/>
  <c r="C18" i="52"/>
  <c r="AN42" i="13"/>
  <c r="S7" i="52" l="1"/>
  <c r="S6" i="52"/>
  <c r="S9" i="52"/>
  <c r="S8" i="52"/>
  <c r="S10" i="52"/>
  <c r="AS43" i="13"/>
  <c r="AM43" i="13"/>
  <c r="AS42" i="13"/>
  <c r="AM42" i="13"/>
  <c r="AS46" i="13"/>
  <c r="AM46" i="13"/>
  <c r="AS47" i="13"/>
  <c r="AM47" i="13"/>
  <c r="K65" i="13" l="1"/>
  <c r="C65" i="13"/>
  <c r="B65" i="13"/>
  <c r="AO64" i="13"/>
  <c r="V6" i="52"/>
  <c r="AQ64" i="13" s="1"/>
  <c r="K67" i="13"/>
  <c r="B67" i="13"/>
  <c r="K66" i="13"/>
  <c r="C67" i="13"/>
  <c r="B66" i="13"/>
  <c r="C66" i="13"/>
  <c r="AO68" i="13"/>
  <c r="V10" i="52"/>
  <c r="AQ68" i="13" s="1"/>
  <c r="AO65" i="13"/>
  <c r="V7" i="52"/>
  <c r="AQ65" i="13" s="1"/>
  <c r="AO66" i="13"/>
  <c r="V8" i="52"/>
  <c r="AQ66" i="13" s="1"/>
  <c r="B64" i="13"/>
  <c r="K64" i="13"/>
  <c r="C64" i="13"/>
  <c r="AO67" i="13"/>
  <c r="V9" i="52"/>
  <c r="AQ67" i="13" s="1"/>
  <c r="F29" i="52" l="1"/>
</calcChain>
</file>

<file path=xl/sharedStrings.xml><?xml version="1.0" encoding="utf-8"?>
<sst xmlns="http://schemas.openxmlformats.org/spreadsheetml/2006/main" count="475" uniqueCount="247">
  <si>
    <t>v</t>
  </si>
  <si>
    <t>Startující</t>
  </si>
  <si>
    <t>JMÉNO</t>
  </si>
  <si>
    <t>Rozhodčí</t>
  </si>
  <si>
    <t>Rozhodčí: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</si>
  <si>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</si>
  <si>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</si>
  <si>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</si>
  <si>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</si>
  <si>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</si>
  <si>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</si>
  <si>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</si>
  <si>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</si>
  <si>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</si>
  <si>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</si>
  <si>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</si>
  <si>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Poločas</t>
  </si>
  <si>
    <t>Výsledek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</si>
  <si>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</si>
  <si>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</si>
  <si>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</si>
  <si>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</si>
  <si>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</si>
  <si>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</si>
  <si>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</si>
  <si>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Nasazení družstev</t>
  </si>
  <si>
    <t>Branky</t>
  </si>
  <si>
    <t>MIMO OBLAST TISKU</t>
  </si>
  <si>
    <t>Kontrola počtu zápasů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</si>
  <si>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</si>
  <si>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</si>
  <si>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</si>
  <si>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</si>
  <si>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</si>
  <si>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</si>
  <si>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</si>
  <si>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</si>
  <si>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</si>
  <si>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</si>
  <si>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</si>
  <si>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</si>
  <si>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</si>
  <si>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</si>
  <si>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</si>
  <si>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</si>
  <si>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</si>
  <si>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</si>
  <si>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</si>
  <si>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</si>
  <si>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</si>
  <si>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</si>
  <si>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</si>
  <si>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</si>
  <si>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</si>
  <si>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</si>
  <si>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</si>
  <si>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</si>
  <si>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</si>
  <si>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</si>
  <si>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</si>
  <si>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</si>
  <si>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</si>
  <si>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</si>
  <si>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</si>
  <si>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</si>
  <si>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</si>
  <si>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</si>
  <si>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</si>
  <si>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</si>
  <si>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</si>
  <si>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</si>
  <si>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</si>
  <si>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</si>
  <si>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</si>
  <si>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</si>
  <si>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</si>
  <si>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</si>
  <si>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</si>
  <si>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</si>
  <si>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</si>
  <si>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</si>
  <si>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</si>
  <si>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</si>
  <si>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</si>
  <si>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</si>
  <si>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</si>
  <si>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</si>
  <si>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</si>
  <si>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</si>
  <si>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</si>
  <si>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</si>
  <si>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</si>
  <si>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</si>
  <si>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</si>
  <si>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</si>
  <si>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</si>
  <si>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</si>
  <si>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</si>
  <si>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</si>
  <si>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</si>
  <si>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</si>
  <si>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</si>
  <si>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</si>
  <si>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</si>
  <si>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</si>
  <si>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</si>
  <si>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</si>
  <si>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</si>
  <si>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</si>
  <si>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</si>
  <si>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</si>
  <si>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</si>
  <si>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</si>
  <si>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</si>
  <si>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</si>
  <si>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DANEBEN DRUCKFLÄCHE</t>
  </si>
  <si>
    <t>EXCEPT AREA PRINTING</t>
  </si>
  <si>
    <t>Ansatz Teams</t>
  </si>
  <si>
    <t xml:space="preserve">Setting teams
</t>
  </si>
  <si>
    <t>Kontrolle der Anzahl Kampf</t>
  </si>
  <si>
    <t>Control of the number of matchs</t>
  </si>
  <si>
    <t>8.</t>
  </si>
  <si>
    <t>9.</t>
  </si>
  <si>
    <t>10.</t>
  </si>
  <si>
    <t>1. družstvo</t>
  </si>
  <si>
    <t>2. družstvo</t>
  </si>
  <si>
    <t>1. Team</t>
  </si>
  <si>
    <t>2. Team</t>
  </si>
  <si>
    <t>nebo podle výsledku vzájemného utkání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</si>
  <si>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</si>
  <si>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</si>
  <si>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</si>
  <si>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</si>
  <si>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</si>
  <si>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</si>
  <si>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</si>
  <si>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</si>
  <si>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</si>
  <si>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</si>
  <si>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</si>
  <si>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</si>
  <si>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</si>
  <si>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</si>
  <si>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Prosím pro jazyk zadejte číslo</t>
  </si>
  <si>
    <t>Bitte die Nr. der gewünschten Sprache eingeben</t>
  </si>
  <si>
    <t>Please for language enter number</t>
  </si>
  <si>
    <t>Kontrola:</t>
  </si>
  <si>
    <t>Kontrolle:</t>
  </si>
  <si>
    <t>Control:</t>
  </si>
  <si>
    <t>x</t>
  </si>
  <si>
    <t>m</t>
  </si>
  <si>
    <t>minut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</si>
  <si>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</si>
  <si>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</si>
  <si>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OPRAVTE pořadí (místo) u horšího družstva = červené pole</t>
  </si>
  <si>
    <t>Zkontrolujte sestavy družstev</t>
  </si>
  <si>
    <t>Družstvo se načte z listu "Pořadí…"</t>
  </si>
  <si>
    <t>Doplňte jména a č. reg.</t>
  </si>
  <si>
    <t>"Podmíněné formátování"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</si>
  <si>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</si>
  <si>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</si>
  <si>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</si>
  <si>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Pořadí zápasů - 5 družstev</t>
  </si>
  <si>
    <t>Spielplan - 5 Teams</t>
  </si>
  <si>
    <t>Sequence matchs - 5 teams</t>
  </si>
  <si>
    <t>NEBO za vzorec v buňce u horšího vepište +1 (+2, +3 atd.)</t>
  </si>
  <si>
    <t>CZ = 1 ; DE = 2 ; EN = 3</t>
  </si>
  <si>
    <t>viz list "Protokol"</t>
  </si>
  <si>
    <t>doba hry</t>
  </si>
  <si>
    <t>prázdné</t>
  </si>
  <si>
    <t>Lokomotiva Liberec</t>
  </si>
  <si>
    <t>SK SC PRIMA Nezamyslice</t>
  </si>
  <si>
    <t>SK Chodsko</t>
  </si>
  <si>
    <t>Mlékárna Olešnice cykloklub Svitávka</t>
  </si>
  <si>
    <t>Sálová cyklistika Svitávka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</si>
  <si>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</si>
  <si>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</si>
  <si>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</si>
  <si>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</si>
  <si>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</si>
  <si>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</si>
  <si>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</si>
  <si>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</si>
  <si>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UCI-ID</t>
  </si>
  <si>
    <t>Utkání o 3. a 4. místo</t>
  </si>
  <si>
    <t xml:space="preserve">Match um 3. bis 4. Platz 
</t>
  </si>
  <si>
    <t>Match about 3. - 4.range</t>
  </si>
  <si>
    <t>3.až 4.</t>
  </si>
  <si>
    <t>doplňte výsledky</t>
  </si>
  <si>
    <t>načtou se do protokolu</t>
  </si>
  <si>
    <t>Utkání o 1. a 2. místo</t>
  </si>
  <si>
    <t>Match about 1. - 2.range</t>
  </si>
  <si>
    <t>1.až 2.</t>
  </si>
  <si>
    <t xml:space="preserve">Match um 1. bis 2. Platz
</t>
  </si>
  <si>
    <t>11.</t>
  </si>
  <si>
    <t>12.</t>
  </si>
  <si>
    <t>4M údery a konečný výsledek</t>
  </si>
  <si>
    <t>4M + Resultate</t>
  </si>
  <si>
    <t>4M + Results</t>
  </si>
  <si>
    <t xml:space="preserve">Match um 1. bis 2. Platz 
</t>
  </si>
  <si>
    <t>výsledky se načtou z listu "Pořadí…"</t>
  </si>
  <si>
    <t>výsledky doplňte do listu "Pořadí…."</t>
  </si>
  <si>
    <t>M</t>
  </si>
  <si>
    <t>Výsledky-základní skupina</t>
  </si>
  <si>
    <t>Resultate - Grundgruppe</t>
  </si>
  <si>
    <t>Results - basic group</t>
  </si>
  <si>
    <t>Utkání o umístění a finále</t>
  </si>
  <si>
    <t>Match um Platzierung und Finale</t>
  </si>
  <si>
    <t xml:space="preserve">Team match about range and final
</t>
  </si>
  <si>
    <t>Počet utkání</t>
  </si>
  <si>
    <t>Celkem</t>
  </si>
  <si>
    <r>
      <t xml:space="preserve">JUNIOŘI – </t>
    </r>
    <r>
      <rPr>
        <b/>
        <sz val="14"/>
        <color rgb="FFFF0000"/>
        <rFont val="Arial CE"/>
        <charset val="238"/>
      </rPr>
      <t>Mistrovství ČR – FINÁLE</t>
    </r>
  </si>
  <si>
    <t>Zlín</t>
  </si>
  <si>
    <t>Date:
18.4.2026</t>
  </si>
  <si>
    <t>I.Liga juniorů 2026 po 3. kole</t>
  </si>
  <si>
    <t>Sokol Zlín-Prštné 1</t>
  </si>
  <si>
    <t>Sokol Zlín-Prštné 2</t>
  </si>
  <si>
    <t>Sokol Šitbořice</t>
  </si>
  <si>
    <t>Šitbořice/Nezamyslice</t>
  </si>
  <si>
    <r>
      <t xml:space="preserve">Kat. JUN
MČR </t>
    </r>
    <r>
      <rPr>
        <b/>
        <sz val="8"/>
        <rFont val="Arial CE"/>
        <charset val="238"/>
      </rPr>
      <t>Finále</t>
    </r>
  </si>
  <si>
    <t>Baxa Richard</t>
  </si>
  <si>
    <t>Struhař Kryštof</t>
  </si>
  <si>
    <t>Buršík Štěpán</t>
  </si>
  <si>
    <t>Matras Dominik</t>
  </si>
  <si>
    <t>Doležal Vítek</t>
  </si>
  <si>
    <t>Šabata Matěj</t>
  </si>
  <si>
    <t>Nečas Vojtěch</t>
  </si>
  <si>
    <t>Matušinec Matěj</t>
  </si>
  <si>
    <t>Pomališ Hynek</t>
  </si>
  <si>
    <t>Šidlof Pavel</t>
  </si>
  <si>
    <t>Struhař Martin</t>
  </si>
  <si>
    <t>Fadrhonc Michal</t>
  </si>
  <si>
    <t>Přikryl Petr</t>
  </si>
  <si>
    <t>Nezamyslice</t>
  </si>
  <si>
    <t>Chrastava</t>
  </si>
  <si>
    <t>Struhař Fadrhonc</t>
  </si>
  <si>
    <t>Struhař Přikryl</t>
  </si>
  <si>
    <t>Fadrhonc Přikryl</t>
  </si>
  <si>
    <t>Vitězné družstvo se stává Mistrem ČR pro rok 2026.</t>
  </si>
  <si>
    <t>Startovné družstev á 600,- Kč uhrazeno. Náhrady rozhodčím á 600,- Kč byly vyplaceny podle STS ČSC.</t>
  </si>
  <si>
    <t>Rozhodující utkání + 4M údery a konečný výsledek</t>
  </si>
  <si>
    <t>Fadrhonc</t>
  </si>
  <si>
    <t>2</t>
  </si>
  <si>
    <t>0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</si>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</sst>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12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2"/>
      <color rgb="FF003366"/>
      <name val="Arial CE"/>
      <family val="2"/>
      <charset val="238"/>
    </font>
    <font>
      <b/>
      <sz val="14"/>
      <color rgb="FF002060"/>
      <name val="Arial CE"/>
      <charset val="238"/>
    </font>
    <font>
      <b/>
      <sz val="11"/>
      <color rgb="FF002060"/>
      <name val="Arial"/>
      <family val="2"/>
      <charset val="238"/>
    </font>
    <font>
      <b/>
      <i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sz val="22"/>
      <name val="Arial CE"/>
      <charset val="238"/>
    </font>
    <font>
      <b/>
      <sz val="12"/>
      <color indexed="18"/>
      <name val="Arial CE"/>
      <family val="2"/>
      <charset val="238"/>
    </font>
    <font>
      <b/>
      <sz val="8"/>
      <color indexed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2"/>
      <color indexed="9"/>
      <name val="Arial CE"/>
      <family val="2"/>
      <charset val="238"/>
    </font>
    <font>
      <sz val="9"/>
      <color indexed="55"/>
      <name val="System"/>
      <family val="2"/>
      <charset val="238"/>
    </font>
    <font>
      <b/>
      <sz val="12"/>
      <color rgb="FFFF0000"/>
      <name val="Arial CE"/>
      <charset val="238"/>
    </font>
    <font>
      <sz val="11"/>
      <color rgb="FF00206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2"/>
      <color theme="3" tint="-0.249977111117893"/>
      <name val="Arial CE"/>
      <family val="2"/>
      <charset val="238"/>
    </font>
    <font>
      <sz val="10"/>
      <color theme="3" tint="-0.249977111117893"/>
      <name val="Arial CE"/>
      <family val="2"/>
      <charset val="238"/>
    </font>
    <font>
      <sz val="12"/>
      <color theme="3" tint="-0.249977111117893"/>
      <name val="Arial CE"/>
      <charset val="238"/>
    </font>
    <font>
      <b/>
      <sz val="12"/>
      <name val="Arial CE"/>
      <charset val="238"/>
    </font>
    <font>
      <b/>
      <sz val="14"/>
      <color indexed="10"/>
      <name val="Arial CE"/>
      <family val="2"/>
      <charset val="238"/>
    </font>
    <font>
      <sz val="12"/>
      <color theme="3" tint="-0.249977111117893"/>
      <name val="Arial CE"/>
      <family val="2"/>
      <charset val="238"/>
    </font>
    <font>
      <b/>
      <u/>
      <sz val="12"/>
      <color indexed="10"/>
      <name val="Arial CE"/>
      <charset val="238"/>
    </font>
    <font>
      <b/>
      <sz val="18"/>
      <name val="Arial"/>
      <family val="2"/>
      <charset val="238"/>
    </font>
    <font>
      <sz val="9"/>
      <color rgb="FF002060"/>
      <name val="Arial CE"/>
      <charset val="238"/>
    </font>
    <font>
      <b/>
      <sz val="8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sz val="8"/>
      <color rgb="FF002060"/>
      <name val="Arial CE"/>
      <family val="2"/>
      <charset val="238"/>
    </font>
    <font>
      <b/>
      <sz val="14"/>
      <color rgb="FFFF0000"/>
      <name val="Arial CE"/>
      <charset val="238"/>
    </font>
    <font>
      <sz val="7"/>
      <name val="Arial CE"/>
      <charset val="238"/>
    </font>
    <font>
      <b/>
      <sz val="11"/>
      <color rgb="FF002060"/>
      <name val="Arial CE"/>
      <charset val="238"/>
    </font>
    <font>
      <sz val="12"/>
      <color theme="0" tint="-0.34998626667073579"/>
      <name val="Arial CE"/>
      <charset val="238"/>
    </font>
    <font>
      <b/>
      <sz val="12"/>
      <color theme="0" tint="-0.3499862666707357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7D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6" xfId="0" applyFont="1" applyBorder="1" applyAlignment="1">
      <alignment horizontal="centerContinuous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0" xfId="0" applyFont="1"/>
    <xf numFmtId="49" fontId="12" fillId="0" borderId="0" xfId="0" applyNumberFormat="1" applyFont="1" applyFill="1" applyAlignment="1">
      <alignment horizontal="center" vertical="center"/>
    </xf>
    <xf numFmtId="0" fontId="12" fillId="0" borderId="8" xfId="0" applyFont="1" applyFill="1" applyBorder="1"/>
    <xf numFmtId="0" fontId="1" fillId="0" borderId="6" xfId="0" applyFont="1" applyBorder="1" applyAlignment="1"/>
    <xf numFmtId="0" fontId="30" fillId="0" borderId="0" xfId="0" applyFont="1" applyProtection="1"/>
    <xf numFmtId="0" fontId="1" fillId="0" borderId="12" xfId="0" applyFont="1" applyBorder="1" applyAlignment="1">
      <alignment horizontal="center"/>
    </xf>
    <xf numFmtId="0" fontId="16" fillId="0" borderId="6" xfId="0" applyFont="1" applyBorder="1" applyAlignment="1">
      <alignment horizontal="centerContinuous" vertical="center"/>
    </xf>
    <xf numFmtId="0" fontId="17" fillId="0" borderId="0" xfId="0" applyFont="1" applyBorder="1" applyAlignment="1">
      <alignment vertical="center"/>
    </xf>
    <xf numFmtId="0" fontId="14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Continuous" vertical="center"/>
    </xf>
    <xf numFmtId="0" fontId="17" fillId="0" borderId="5" xfId="0" applyFont="1" applyFill="1" applyBorder="1" applyAlignment="1">
      <alignment horizontal="centerContinuous" vertical="center"/>
    </xf>
    <xf numFmtId="0" fontId="17" fillId="0" borderId="0" xfId="0" applyFont="1" applyFill="1" applyBorder="1" applyAlignment="1">
      <alignment vertical="center"/>
    </xf>
    <xf numFmtId="0" fontId="1" fillId="0" borderId="3" xfId="0" applyFont="1" applyBorder="1" applyAlignment="1"/>
    <xf numFmtId="0" fontId="0" fillId="0" borderId="10" xfId="0" applyBorder="1" applyAlignment="1">
      <alignment horizontal="center"/>
    </xf>
    <xf numFmtId="0" fontId="18" fillId="3" borderId="0" xfId="0" applyFont="1" applyFill="1"/>
    <xf numFmtId="0" fontId="5" fillId="0" borderId="10" xfId="0" applyFont="1" applyBorder="1" applyAlignment="1">
      <alignment horizontal="center"/>
    </xf>
    <xf numFmtId="0" fontId="10" fillId="4" borderId="0" xfId="0" applyFont="1" applyFill="1" applyAlignment="1">
      <alignment horizontal="left" vertical="center"/>
    </xf>
    <xf numFmtId="0" fontId="0" fillId="4" borderId="0" xfId="0" applyFill="1"/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right"/>
    </xf>
    <xf numFmtId="0" fontId="31" fillId="5" borderId="0" xfId="0" applyFont="1" applyFill="1"/>
    <xf numFmtId="0" fontId="32" fillId="5" borderId="0" xfId="0" applyFont="1" applyFill="1"/>
    <xf numFmtId="0" fontId="0" fillId="0" borderId="0" xfId="0" applyAlignment="1"/>
    <xf numFmtId="0" fontId="18" fillId="0" borderId="0" xfId="0" applyFont="1" applyAlignment="1"/>
    <xf numFmtId="49" fontId="15" fillId="0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vertical="center"/>
    </xf>
    <xf numFmtId="0" fontId="11" fillId="4" borderId="0" xfId="0" applyFont="1" applyFill="1"/>
    <xf numFmtId="0" fontId="33" fillId="0" borderId="7" xfId="0" applyFont="1" applyBorder="1" applyProtection="1">
      <protection locked="0"/>
    </xf>
    <xf numFmtId="0" fontId="34" fillId="0" borderId="7" xfId="0" applyFont="1" applyBorder="1" applyProtection="1">
      <protection locked="0"/>
    </xf>
    <xf numFmtId="0" fontId="35" fillId="0" borderId="7" xfId="0" applyFont="1" applyBorder="1" applyProtection="1">
      <protection locked="0"/>
    </xf>
    <xf numFmtId="0" fontId="36" fillId="0" borderId="7" xfId="0" applyFont="1" applyBorder="1" applyProtection="1">
      <protection locked="0"/>
    </xf>
    <xf numFmtId="0" fontId="37" fillId="0" borderId="7" xfId="0" applyFont="1" applyBorder="1" applyProtection="1">
      <protection locked="0"/>
    </xf>
    <xf numFmtId="0" fontId="21" fillId="0" borderId="0" xfId="0" applyFont="1" applyFill="1" applyBorder="1" applyAlignment="1"/>
    <xf numFmtId="0" fontId="15" fillId="0" borderId="0" xfId="0" applyFont="1" applyAlignment="1"/>
    <xf numFmtId="0" fontId="15" fillId="0" borderId="0" xfId="0" applyFont="1"/>
    <xf numFmtId="0" fontId="21" fillId="0" borderId="0" xfId="0" applyNumberFormat="1" applyFont="1" applyBorder="1" applyAlignment="1"/>
    <xf numFmtId="0" fontId="11" fillId="0" borderId="0" xfId="0" applyFont="1" applyAlignment="1"/>
    <xf numFmtId="0" fontId="18" fillId="0" borderId="0" xfId="0" applyFont="1" applyAlignment="1">
      <alignment wrapText="1"/>
    </xf>
    <xf numFmtId="0" fontId="15" fillId="0" borderId="9" xfId="0" applyFont="1" applyFill="1" applyBorder="1"/>
    <xf numFmtId="0" fontId="15" fillId="0" borderId="11" xfId="0" applyFont="1" applyFill="1" applyBorder="1" applyAlignment="1">
      <alignment horizontal="right"/>
    </xf>
    <xf numFmtId="0" fontId="29" fillId="0" borderId="4" xfId="0" applyFont="1" applyBorder="1" applyAlignment="1">
      <alignment horizontal="centerContinuous"/>
    </xf>
    <xf numFmtId="0" fontId="29" fillId="0" borderId="5" xfId="0" applyFont="1" applyBorder="1" applyAlignment="1">
      <alignment horizontal="centerContinuous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35" fillId="0" borderId="1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10" fillId="2" borderId="18" xfId="0" applyNumberFormat="1" applyFont="1" applyFill="1" applyBorder="1" applyAlignment="1" applyProtection="1">
      <alignment horizontal="center" vertical="center"/>
      <protection locked="0"/>
    </xf>
    <xf numFmtId="1" fontId="10" fillId="2" borderId="17" xfId="0" applyNumberFormat="1" applyFont="1" applyFill="1" applyBorder="1" applyAlignment="1">
      <alignment horizontal="center" vertical="center"/>
    </xf>
    <xf numFmtId="1" fontId="10" fillId="0" borderId="18" xfId="0" applyNumberFormat="1" applyFont="1" applyFill="1" applyBorder="1" applyAlignment="1" applyProtection="1">
      <alignment horizontal="center" vertical="center"/>
      <protection locked="0"/>
    </xf>
    <xf numFmtId="1" fontId="10" fillId="0" borderId="17" xfId="0" applyNumberFormat="1" applyFont="1" applyFill="1" applyBorder="1" applyAlignment="1">
      <alignment horizontal="center" vertical="center"/>
    </xf>
    <xf numFmtId="1" fontId="10" fillId="0" borderId="17" xfId="0" applyNumberFormat="1" applyFont="1" applyFill="1" applyBorder="1" applyAlignment="1" applyProtection="1">
      <alignment horizontal="center" vertical="center"/>
      <protection locked="0"/>
    </xf>
    <xf numFmtId="1" fontId="29" fillId="0" borderId="18" xfId="0" applyNumberFormat="1" applyFont="1" applyFill="1" applyBorder="1" applyAlignment="1" applyProtection="1">
      <alignment horizontal="center" vertical="center"/>
      <protection locked="0"/>
    </xf>
    <xf numFmtId="1" fontId="29" fillId="0" borderId="17" xfId="0" applyNumberFormat="1" applyFont="1" applyFill="1" applyBorder="1" applyAlignment="1">
      <alignment horizontal="center" vertical="center"/>
    </xf>
    <xf numFmtId="1" fontId="29" fillId="0" borderId="17" xfId="0" applyNumberFormat="1" applyFont="1" applyFill="1" applyBorder="1" applyAlignment="1" applyProtection="1">
      <alignment horizontal="center" vertical="center"/>
      <protection locked="0"/>
    </xf>
    <xf numFmtId="1" fontId="29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 applyProtection="1">
      <alignment horizontal="center" vertical="center"/>
    </xf>
    <xf numFmtId="1" fontId="10" fillId="0" borderId="9" xfId="0" applyNumberFormat="1" applyFont="1" applyBorder="1" applyAlignment="1" applyProtection="1">
      <alignment horizontal="center" vertical="center"/>
    </xf>
    <xf numFmtId="1" fontId="10" fillId="2" borderId="8" xfId="0" applyNumberFormat="1" applyFont="1" applyFill="1" applyBorder="1" applyAlignment="1" applyProtection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1" fontId="10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Fill="1" applyBorder="1" applyAlignment="1" applyProtection="1">
      <alignment horizontal="center" vertical="center"/>
      <protection locked="0"/>
    </xf>
    <xf numFmtId="1" fontId="29" fillId="0" borderId="8" xfId="0" applyNumberFormat="1" applyFont="1" applyBorder="1" applyAlignment="1" applyProtection="1">
      <alignment horizontal="center" vertical="center"/>
      <protection locked="0"/>
    </xf>
    <xf numFmtId="1" fontId="29" fillId="0" borderId="9" xfId="0" applyNumberFormat="1" applyFont="1" applyBorder="1" applyAlignment="1">
      <alignment horizontal="center" vertical="center"/>
    </xf>
    <xf numFmtId="1" fontId="29" fillId="0" borderId="9" xfId="0" applyNumberFormat="1" applyFont="1" applyBorder="1" applyAlignment="1" applyProtection="1">
      <alignment horizontal="center" vertical="center"/>
      <protection locked="0"/>
    </xf>
    <xf numFmtId="1" fontId="29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 applyProtection="1">
      <alignment horizontal="center" vertical="center"/>
      <protection locked="0"/>
    </xf>
    <xf numFmtId="1" fontId="29" fillId="0" borderId="8" xfId="0" applyNumberFormat="1" applyFont="1" applyFill="1" applyBorder="1" applyAlignment="1" applyProtection="1">
      <alignment horizontal="center" vertical="center"/>
      <protection locked="0"/>
    </xf>
    <xf numFmtId="0" fontId="41" fillId="0" borderId="20" xfId="0" applyFont="1" applyBorder="1" applyProtection="1">
      <protection locked="0"/>
    </xf>
    <xf numFmtId="0" fontId="41" fillId="0" borderId="0" xfId="0" applyFont="1" applyBorder="1" applyProtection="1">
      <protection locked="0"/>
    </xf>
    <xf numFmtId="0" fontId="10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43" fillId="0" borderId="10" xfId="0" applyNumberFormat="1" applyFont="1" applyBorder="1" applyAlignment="1">
      <alignment horizontal="center" vertical="center"/>
    </xf>
    <xf numFmtId="49" fontId="0" fillId="0" borderId="0" xfId="0" applyNumberFormat="1"/>
    <xf numFmtId="49" fontId="17" fillId="0" borderId="5" xfId="0" applyNumberFormat="1" applyFont="1" applyFill="1" applyBorder="1" applyAlignment="1">
      <alignment horizontal="centerContinuous" vertical="center"/>
    </xf>
    <xf numFmtId="0" fontId="14" fillId="6" borderId="2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4" fillId="0" borderId="0" xfId="0" applyFont="1" applyBorder="1" applyAlignment="1" applyProtection="1">
      <alignment horizontal="left"/>
      <protection locked="0"/>
    </xf>
    <xf numFmtId="0" fontId="44" fillId="0" borderId="0" xfId="0" applyFont="1" applyBorder="1" applyProtection="1">
      <protection locked="0"/>
    </xf>
    <xf numFmtId="0" fontId="10" fillId="0" borderId="10" xfId="0" applyFont="1" applyFill="1" applyBorder="1" applyAlignment="1">
      <alignment horizontal="left"/>
    </xf>
    <xf numFmtId="0" fontId="45" fillId="0" borderId="7" xfId="0" applyFont="1" applyBorder="1" applyAlignment="1" applyProtection="1">
      <protection locked="0"/>
    </xf>
    <xf numFmtId="0" fontId="5" fillId="0" borderId="0" xfId="0" applyFont="1" applyAlignment="1">
      <alignment wrapText="1"/>
    </xf>
    <xf numFmtId="49" fontId="36" fillId="0" borderId="8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1" fontId="10" fillId="0" borderId="19" xfId="0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1" fillId="7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41" fillId="0" borderId="0" xfId="0" applyFont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/>
    <xf numFmtId="0" fontId="0" fillId="0" borderId="0" xfId="0" applyBorder="1" applyAlignment="1">
      <alignment horizontal="center"/>
    </xf>
    <xf numFmtId="0" fontId="41" fillId="5" borderId="0" xfId="0" applyFont="1" applyFill="1" applyAlignment="1">
      <alignment horizontal="center"/>
    </xf>
    <xf numFmtId="0" fontId="41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1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NumberFormat="1" applyFont="1" applyBorder="1" applyAlignment="1">
      <alignment horizontal="right" vertical="center"/>
    </xf>
    <xf numFmtId="0" fontId="10" fillId="0" borderId="9" xfId="0" applyNumberFormat="1" applyFont="1" applyBorder="1" applyAlignment="1">
      <alignment horizontal="right" vertical="center"/>
    </xf>
    <xf numFmtId="0" fontId="12" fillId="0" borderId="0" xfId="0" applyNumberFormat="1" applyFont="1" applyAlignment="1">
      <alignment horizontal="center" vertical="center"/>
    </xf>
    <xf numFmtId="0" fontId="15" fillId="0" borderId="8" xfId="0" applyNumberFormat="1" applyFont="1" applyFill="1" applyBorder="1" applyAlignment="1">
      <alignment horizontal="right"/>
    </xf>
    <xf numFmtId="0" fontId="0" fillId="8" borderId="0" xfId="0" applyNumberFormat="1" applyFill="1"/>
    <xf numFmtId="0" fontId="0" fillId="8" borderId="0" xfId="0" applyFill="1"/>
    <xf numFmtId="0" fontId="46" fillId="0" borderId="24" xfId="0" applyFont="1" applyBorder="1" applyAlignment="1"/>
    <xf numFmtId="0" fontId="0" fillId="0" borderId="24" xfId="0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5" fillId="0" borderId="0" xfId="0" applyFont="1" applyBorder="1" applyAlignment="1" applyProtection="1">
      <protection locked="0"/>
    </xf>
    <xf numFmtId="0" fontId="48" fillId="0" borderId="0" xfId="0" applyFont="1" applyAlignment="1"/>
    <xf numFmtId="1" fontId="29" fillId="0" borderId="9" xfId="0" applyNumberFormat="1" applyFont="1" applyFill="1" applyBorder="1" applyAlignment="1" applyProtection="1">
      <alignment horizontal="center" vertical="center"/>
      <protection locked="0"/>
    </xf>
    <xf numFmtId="1" fontId="29" fillId="0" borderId="9" xfId="0" applyNumberFormat="1" applyFont="1" applyFill="1" applyBorder="1" applyAlignment="1">
      <alignment horizontal="center" vertical="center"/>
    </xf>
    <xf numFmtId="0" fontId="20" fillId="6" borderId="40" xfId="0" applyFont="1" applyFill="1" applyBorder="1" applyAlignment="1" applyProtection="1">
      <alignment horizontal="center" vertical="center"/>
      <protection locked="0"/>
    </xf>
    <xf numFmtId="0" fontId="36" fillId="0" borderId="25" xfId="0" applyFont="1" applyBorder="1" applyProtection="1">
      <protection locked="0"/>
    </xf>
    <xf numFmtId="0" fontId="0" fillId="0" borderId="25" xfId="0" applyBorder="1"/>
    <xf numFmtId="0" fontId="37" fillId="0" borderId="25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27" fillId="0" borderId="4" xfId="0" applyFont="1" applyBorder="1" applyAlignment="1">
      <alignment horizontal="centerContinuous"/>
    </xf>
    <xf numFmtId="0" fontId="27" fillId="0" borderId="5" xfId="0" applyFont="1" applyBorder="1" applyAlignment="1">
      <alignment horizontal="centerContinuous"/>
    </xf>
    <xf numFmtId="0" fontId="27" fillId="0" borderId="26" xfId="0" applyFont="1" applyBorder="1" applyAlignment="1">
      <alignment horizontal="center"/>
    </xf>
    <xf numFmtId="0" fontId="0" fillId="0" borderId="0" xfId="0" applyFont="1" applyProtection="1"/>
    <xf numFmtId="0" fontId="1" fillId="0" borderId="0" xfId="0" applyFont="1" applyProtection="1"/>
    <xf numFmtId="0" fontId="50" fillId="5" borderId="0" xfId="0" applyFont="1" applyFill="1"/>
    <xf numFmtId="0" fontId="51" fillId="5" borderId="0" xfId="0" applyFont="1" applyFill="1"/>
    <xf numFmtId="1" fontId="36" fillId="0" borderId="8" xfId="0" applyNumberFormat="1" applyFont="1" applyBorder="1" applyAlignment="1">
      <alignment horizontal="center" vertical="center"/>
    </xf>
    <xf numFmtId="1" fontId="36" fillId="0" borderId="9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0" fontId="0" fillId="0" borderId="41" xfId="0" applyBorder="1"/>
    <xf numFmtId="0" fontId="22" fillId="3" borderId="0" xfId="0" applyFont="1" applyFill="1"/>
    <xf numFmtId="0" fontId="40" fillId="3" borderId="0" xfId="0" applyFont="1" applyFill="1"/>
    <xf numFmtId="0" fontId="0" fillId="0" borderId="0" xfId="0" applyNumberFormat="1"/>
    <xf numFmtId="0" fontId="15" fillId="0" borderId="10" xfId="0" applyNumberFormat="1" applyFont="1" applyFill="1" applyBorder="1" applyAlignment="1">
      <alignment horizontal="center"/>
    </xf>
    <xf numFmtId="0" fontId="15" fillId="0" borderId="9" xfId="0" applyNumberFormat="1" applyFont="1" applyFill="1" applyBorder="1"/>
    <xf numFmtId="0" fontId="15" fillId="0" borderId="11" xfId="0" applyNumberFormat="1" applyFont="1" applyFill="1" applyBorder="1" applyAlignment="1">
      <alignment horizontal="right"/>
    </xf>
    <xf numFmtId="0" fontId="27" fillId="0" borderId="42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33" fillId="0" borderId="43" xfId="0" applyFont="1" applyBorder="1" applyAlignment="1" applyProtection="1">
      <alignment horizontal="left"/>
      <protection locked="0"/>
    </xf>
    <xf numFmtId="0" fontId="49" fillId="0" borderId="44" xfId="0" applyFont="1" applyBorder="1" applyAlignment="1"/>
    <xf numFmtId="0" fontId="49" fillId="0" borderId="45" xfId="0" applyFont="1" applyBorder="1" applyAlignment="1"/>
    <xf numFmtId="0" fontId="7" fillId="0" borderId="46" xfId="0" applyFont="1" applyBorder="1" applyAlignment="1">
      <alignment horizontal="center"/>
    </xf>
    <xf numFmtId="0" fontId="33" fillId="0" borderId="46" xfId="0" applyFont="1" applyBorder="1" applyAlignment="1" applyProtection="1">
      <alignment horizontal="left"/>
      <protection locked="0"/>
    </xf>
    <xf numFmtId="0" fontId="49" fillId="0" borderId="25" xfId="0" applyFont="1" applyBorder="1" applyAlignment="1"/>
    <xf numFmtId="0" fontId="49" fillId="0" borderId="47" xfId="0" applyFont="1" applyBorder="1" applyAlignment="1"/>
    <xf numFmtId="0" fontId="44" fillId="0" borderId="18" xfId="0" applyFont="1" applyBorder="1" applyAlignment="1" applyProtection="1">
      <alignment horizontal="left" vertical="center"/>
      <protection locked="0"/>
    </xf>
    <xf numFmtId="0" fontId="44" fillId="0" borderId="8" xfId="0" applyFont="1" applyBorder="1" applyAlignment="1" applyProtection="1">
      <alignment horizontal="left" vertical="center"/>
      <protection locked="0"/>
    </xf>
    <xf numFmtId="0" fontId="56" fillId="0" borderId="7" xfId="0" applyFont="1" applyBorder="1"/>
    <xf numFmtId="0" fontId="54" fillId="0" borderId="7" xfId="0" applyFont="1" applyBorder="1" applyProtection="1">
      <protection locked="0"/>
    </xf>
    <xf numFmtId="0" fontId="56" fillId="0" borderId="25" xfId="0" applyFont="1" applyBorder="1"/>
    <xf numFmtId="0" fontId="54" fillId="0" borderId="25" xfId="0" applyFont="1" applyBorder="1" applyProtection="1">
      <protection locked="0"/>
    </xf>
    <xf numFmtId="0" fontId="55" fillId="0" borderId="25" xfId="0" applyFont="1" applyBorder="1" applyProtection="1">
      <protection locked="0"/>
    </xf>
    <xf numFmtId="0" fontId="57" fillId="6" borderId="40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0" borderId="0" xfId="0" applyFill="1"/>
    <xf numFmtId="0" fontId="1" fillId="10" borderId="0" xfId="0" applyNumberFormat="1" applyFont="1" applyFill="1" applyBorder="1" applyAlignment="1">
      <alignment horizontal="left"/>
    </xf>
    <xf numFmtId="0" fontId="1" fillId="10" borderId="0" xfId="0" quotePrefix="1" applyNumberFormat="1" applyFont="1" applyFill="1" applyBorder="1" applyAlignment="1">
      <alignment horizontal="left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7" xfId="0" applyFont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58" fillId="0" borderId="7" xfId="0" applyFont="1" applyBorder="1" applyAlignment="1" applyProtection="1">
      <protection locked="0"/>
    </xf>
    <xf numFmtId="0" fontId="58" fillId="0" borderId="7" xfId="0" applyFont="1" applyBorder="1" applyProtection="1">
      <protection locked="0"/>
    </xf>
    <xf numFmtId="0" fontId="2" fillId="0" borderId="21" xfId="0" applyFont="1" applyBorder="1" applyAlignment="1">
      <alignment horizontal="center" vertical="center"/>
    </xf>
    <xf numFmtId="0" fontId="59" fillId="0" borderId="21" xfId="0" applyFont="1" applyFill="1" applyBorder="1" applyAlignment="1">
      <alignment horizontal="center" vertical="center" textRotation="90" wrapText="1"/>
    </xf>
    <xf numFmtId="0" fontId="60" fillId="0" borderId="21" xfId="0" applyFont="1" applyFill="1" applyBorder="1" applyAlignment="1"/>
    <xf numFmtId="0" fontId="4" fillId="0" borderId="21" xfId="0" applyFont="1" applyFill="1" applyBorder="1" applyAlignment="1">
      <alignment horizontal="center" vertical="center"/>
    </xf>
    <xf numFmtId="0" fontId="61" fillId="0" borderId="9" xfId="0" applyFont="1" applyFill="1" applyBorder="1" applyAlignment="1">
      <alignment horizontal="left" vertical="center"/>
    </xf>
    <xf numFmtId="49" fontId="62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24" fillId="0" borderId="0" xfId="0" applyFont="1" applyAlignment="1"/>
    <xf numFmtId="0" fontId="2" fillId="0" borderId="10" xfId="0" applyFont="1" applyBorder="1" applyAlignment="1">
      <alignment horizontal="center" vertical="center"/>
    </xf>
    <xf numFmtId="0" fontId="59" fillId="0" borderId="10" xfId="0" applyFont="1" applyFill="1" applyBorder="1" applyAlignment="1">
      <alignment horizontal="center" vertical="center" textRotation="90" wrapText="1"/>
    </xf>
    <xf numFmtId="0" fontId="63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49" fontId="62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3" fillId="0" borderId="0" xfId="0" applyFont="1" applyAlignment="1"/>
    <xf numFmtId="0" fontId="1" fillId="0" borderId="0" xfId="0" applyFont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59" fillId="0" borderId="41" xfId="0" applyFont="1" applyFill="1" applyBorder="1" applyAlignment="1">
      <alignment horizontal="center" vertical="center" textRotation="90" wrapText="1"/>
    </xf>
    <xf numFmtId="0" fontId="4" fillId="0" borderId="41" xfId="0" applyFont="1" applyFill="1" applyBorder="1" applyAlignment="1">
      <alignment vertical="top"/>
    </xf>
    <xf numFmtId="0" fontId="4" fillId="0" borderId="41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vertical="top"/>
    </xf>
    <xf numFmtId="0" fontId="1" fillId="0" borderId="10" xfId="0" applyFont="1" applyFill="1" applyBorder="1" applyAlignment="1">
      <alignment horizontal="left" vertical="center"/>
    </xf>
    <xf numFmtId="1" fontId="36" fillId="0" borderId="8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65" fillId="0" borderId="10" xfId="0" applyFont="1" applyFill="1" applyBorder="1" applyAlignment="1">
      <alignment horizontal="center" vertical="center" textRotation="90" wrapText="1"/>
    </xf>
    <xf numFmtId="49" fontId="62" fillId="0" borderId="21" xfId="0" applyNumberFormat="1" applyFont="1" applyBorder="1" applyAlignment="1">
      <alignment horizontal="center" vertical="center"/>
    </xf>
    <xf numFmtId="1" fontId="36" fillId="0" borderId="2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4" fillId="0" borderId="0" xfId="0" applyFont="1" applyBorder="1"/>
    <xf numFmtId="0" fontId="0" fillId="0" borderId="5" xfId="0" applyBorder="1" applyAlignment="1"/>
    <xf numFmtId="0" fontId="0" fillId="0" borderId="7" xfId="0" applyBorder="1" applyAlignment="1"/>
    <xf numFmtId="0" fontId="60" fillId="0" borderId="50" xfId="0" applyFont="1" applyBorder="1"/>
    <xf numFmtId="0" fontId="0" fillId="0" borderId="50" xfId="0" applyBorder="1"/>
    <xf numFmtId="0" fontId="23" fillId="0" borderId="51" xfId="0" applyFont="1" applyBorder="1"/>
    <xf numFmtId="0" fontId="67" fillId="0" borderId="25" xfId="0" applyFont="1" applyBorder="1" applyAlignment="1" applyProtection="1">
      <alignment horizontal="center"/>
    </xf>
    <xf numFmtId="0" fontId="68" fillId="0" borderId="46" xfId="0" applyFont="1" applyBorder="1" applyAlignment="1" applyProtection="1">
      <alignment vertical="center"/>
    </xf>
    <xf numFmtId="0" fontId="0" fillId="0" borderId="25" xfId="0" applyBorder="1" applyAlignment="1"/>
    <xf numFmtId="1" fontId="70" fillId="0" borderId="25" xfId="0" applyNumberFormat="1" applyFont="1" applyBorder="1" applyAlignment="1">
      <alignment horizontal="center" vertical="center"/>
    </xf>
    <xf numFmtId="1" fontId="70" fillId="0" borderId="25" xfId="0" applyNumberFormat="1" applyFont="1" applyBorder="1" applyAlignment="1">
      <alignment horizontal="left" vertical="center"/>
    </xf>
    <xf numFmtId="1" fontId="70" fillId="0" borderId="46" xfId="0" applyNumberFormat="1" applyFont="1" applyBorder="1" applyAlignment="1">
      <alignment horizontal="center" vertical="center"/>
    </xf>
    <xf numFmtId="2" fontId="70" fillId="0" borderId="25" xfId="0" applyNumberFormat="1" applyFont="1" applyBorder="1" applyAlignment="1">
      <alignment horizontal="center" vertical="center"/>
    </xf>
    <xf numFmtId="1" fontId="70" fillId="0" borderId="47" xfId="0" applyNumberFormat="1" applyFont="1" applyBorder="1" applyAlignment="1">
      <alignment horizontal="center" vertical="center"/>
    </xf>
    <xf numFmtId="0" fontId="71" fillId="0" borderId="41" xfId="0" applyFont="1" applyFill="1" applyBorder="1" applyAlignment="1">
      <alignment horizontal="center"/>
    </xf>
    <xf numFmtId="0" fontId="66" fillId="0" borderId="0" xfId="0" applyFont="1" applyBorder="1" applyAlignment="1" applyProtection="1">
      <alignment vertical="center"/>
      <protection locked="0"/>
    </xf>
    <xf numFmtId="0" fontId="67" fillId="0" borderId="0" xfId="0" applyFont="1" applyBorder="1" applyProtection="1">
      <protection locked="0"/>
    </xf>
    <xf numFmtId="0" fontId="67" fillId="0" borderId="0" xfId="0" applyFont="1" applyBorder="1" applyAlignment="1" applyProtection="1">
      <alignment horizontal="center"/>
    </xf>
    <xf numFmtId="0" fontId="67" fillId="0" borderId="0" xfId="0" applyFont="1" applyBorder="1" applyAlignment="1" applyProtection="1">
      <alignment vertical="center"/>
      <protection locked="0"/>
    </xf>
    <xf numFmtId="0" fontId="67" fillId="0" borderId="0" xfId="0" applyFont="1" applyBorder="1" applyProtection="1"/>
    <xf numFmtId="0" fontId="66" fillId="0" borderId="46" xfId="0" applyFont="1" applyBorder="1" applyAlignment="1" applyProtection="1">
      <alignment vertical="center"/>
      <protection locked="0"/>
    </xf>
    <xf numFmtId="0" fontId="72" fillId="0" borderId="25" xfId="0" applyFont="1" applyBorder="1" applyProtection="1"/>
    <xf numFmtId="0" fontId="67" fillId="0" borderId="25" xfId="0" applyFont="1" applyFill="1" applyBorder="1" applyAlignment="1" applyProtection="1">
      <alignment horizontal="centerContinuous"/>
      <protection locked="0"/>
    </xf>
    <xf numFmtId="0" fontId="66" fillId="0" borderId="25" xfId="0" applyFont="1" applyBorder="1" applyAlignment="1" applyProtection="1">
      <alignment vertical="center"/>
      <protection locked="0"/>
    </xf>
    <xf numFmtId="0" fontId="67" fillId="0" borderId="25" xfId="0" applyFont="1" applyFill="1" applyBorder="1" applyAlignment="1" applyProtection="1">
      <alignment horizontal="centerContinuous"/>
    </xf>
    <xf numFmtId="0" fontId="67" fillId="0" borderId="25" xfId="0" applyFont="1" applyBorder="1" applyProtection="1">
      <protection locked="0"/>
    </xf>
    <xf numFmtId="0" fontId="72" fillId="0" borderId="25" xfId="0" applyFont="1" applyFill="1" applyBorder="1" applyProtection="1">
      <protection locked="0"/>
    </xf>
    <xf numFmtId="0" fontId="72" fillId="0" borderId="25" xfId="0" applyFont="1" applyFill="1" applyBorder="1" applyProtection="1"/>
    <xf numFmtId="0" fontId="24" fillId="0" borderId="0" xfId="0" applyFont="1"/>
    <xf numFmtId="0" fontId="67" fillId="0" borderId="0" xfId="0" applyFont="1" applyFill="1" applyBorder="1" applyAlignment="1" applyProtection="1">
      <alignment horizontal="centerContinuous"/>
    </xf>
    <xf numFmtId="0" fontId="0" fillId="0" borderId="0" xfId="0" applyBorder="1" applyProtection="1"/>
    <xf numFmtId="0" fontId="73" fillId="0" borderId="0" xfId="0" applyFont="1" applyAlignment="1">
      <alignment vertical="center"/>
    </xf>
    <xf numFmtId="0" fontId="0" fillId="0" borderId="0" xfId="0" applyFill="1"/>
    <xf numFmtId="0" fontId="0" fillId="0" borderId="24" xfId="0" applyBorder="1" applyAlignment="1">
      <alignment horizontal="left" vertical="center"/>
    </xf>
    <xf numFmtId="1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0" fillId="0" borderId="24" xfId="0" applyFont="1" applyBorder="1" applyAlignment="1">
      <alignment horizontal="centerContinuous" vertical="center"/>
    </xf>
    <xf numFmtId="0" fontId="0" fillId="0" borderId="24" xfId="0" applyBorder="1" applyAlignment="1">
      <alignment vertical="center"/>
    </xf>
    <xf numFmtId="0" fontId="1" fillId="0" borderId="24" xfId="0" applyFont="1" applyBorder="1" applyAlignment="1">
      <alignment vertical="center"/>
    </xf>
    <xf numFmtId="0" fontId="40" fillId="0" borderId="24" xfId="0" applyFont="1" applyBorder="1" applyAlignment="1">
      <alignment vertical="center"/>
    </xf>
    <xf numFmtId="0" fontId="0" fillId="0" borderId="0" xfId="0" applyFill="1" applyBorder="1"/>
    <xf numFmtId="0" fontId="22" fillId="0" borderId="0" xfId="0" applyFont="1" applyAlignment="1">
      <alignment vertical="center"/>
    </xf>
    <xf numFmtId="0" fontId="23" fillId="0" borderId="0" xfId="0" applyFont="1"/>
    <xf numFmtId="0" fontId="47" fillId="0" borderId="0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0" fillId="0" borderId="3" xfId="0" applyBorder="1" applyAlignment="1"/>
    <xf numFmtId="0" fontId="33" fillId="0" borderId="25" xfId="0" applyFont="1" applyBorder="1" applyAlignment="1"/>
    <xf numFmtId="0" fontId="75" fillId="0" borderId="25" xfId="0" applyFont="1" applyBorder="1" applyAlignment="1"/>
    <xf numFmtId="1" fontId="24" fillId="0" borderId="0" xfId="0" applyNumberFormat="1" applyFont="1"/>
    <xf numFmtId="0" fontId="1" fillId="11" borderId="0" xfId="0" applyFont="1" applyFill="1" applyAlignment="1">
      <alignment horizontal="right"/>
    </xf>
    <xf numFmtId="0" fontId="1" fillId="11" borderId="0" xfId="0" applyFont="1" applyFill="1" applyAlignment="1">
      <alignment horizontal="center"/>
    </xf>
    <xf numFmtId="0" fontId="1" fillId="12" borderId="0" xfId="0" applyFont="1" applyFill="1"/>
    <xf numFmtId="0" fontId="23" fillId="12" borderId="0" xfId="0" applyFont="1" applyFill="1" applyAlignment="1">
      <alignment horizontal="center"/>
    </xf>
    <xf numFmtId="0" fontId="1" fillId="12" borderId="0" xfId="0" applyFont="1" applyFill="1" applyAlignment="1">
      <alignment horizontal="left"/>
    </xf>
    <xf numFmtId="0" fontId="1" fillId="12" borderId="0" xfId="0" applyFont="1" applyFill="1" applyAlignment="1">
      <alignment horizontal="center"/>
    </xf>
    <xf numFmtId="0" fontId="0" fillId="0" borderId="25" xfId="0" applyBorder="1" applyAlignment="1"/>
    <xf numFmtId="0" fontId="1" fillId="0" borderId="0" xfId="0" applyFont="1" applyFill="1" applyAlignment="1"/>
    <xf numFmtId="0" fontId="33" fillId="0" borderId="1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80" fillId="0" borderId="5" xfId="0" applyFont="1" applyBorder="1" applyAlignment="1">
      <alignment horizontal="center"/>
    </xf>
    <xf numFmtId="0" fontId="81" fillId="0" borderId="46" xfId="0" applyFont="1" applyBorder="1" applyAlignment="1" applyProtection="1">
      <protection locked="0"/>
    </xf>
    <xf numFmtId="0" fontId="81" fillId="0" borderId="25" xfId="0" applyFont="1" applyBorder="1" applyAlignment="1"/>
    <xf numFmtId="0" fontId="75" fillId="0" borderId="54" xfId="0" applyFont="1" applyBorder="1" applyAlignment="1"/>
    <xf numFmtId="0" fontId="81" fillId="0" borderId="55" xfId="0" applyFont="1" applyBorder="1" applyAlignment="1" applyProtection="1">
      <protection locked="0"/>
    </xf>
    <xf numFmtId="0" fontId="81" fillId="0" borderId="54" xfId="0" applyFont="1" applyBorder="1" applyAlignment="1"/>
    <xf numFmtId="0" fontId="81" fillId="0" borderId="55" xfId="0" applyFont="1" applyBorder="1" applyAlignment="1" applyProtection="1">
      <alignment horizontal="left"/>
      <protection locked="0"/>
    </xf>
    <xf numFmtId="0" fontId="37" fillId="0" borderId="54" xfId="0" applyFont="1" applyBorder="1" applyAlignment="1"/>
    <xf numFmtId="0" fontId="0" fillId="0" borderId="54" xfId="0" applyBorder="1" applyAlignment="1"/>
    <xf numFmtId="0" fontId="0" fillId="0" borderId="25" xfId="0" applyFont="1" applyBorder="1" applyAlignment="1"/>
    <xf numFmtId="0" fontId="0" fillId="0" borderId="54" xfId="0" applyFont="1" applyBorder="1" applyAlignment="1"/>
    <xf numFmtId="0" fontId="37" fillId="0" borderId="25" xfId="0" applyFont="1" applyBorder="1" applyAlignment="1"/>
    <xf numFmtId="0" fontId="52" fillId="0" borderId="7" xfId="0" applyFont="1" applyBorder="1" applyProtection="1">
      <protection locked="0"/>
    </xf>
    <xf numFmtId="0" fontId="23" fillId="0" borderId="0" xfId="0" applyFont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42" fillId="0" borderId="10" xfId="0" applyFont="1" applyBorder="1" applyAlignment="1">
      <alignment horizontal="justify" vertical="center"/>
    </xf>
    <xf numFmtId="0" fontId="44" fillId="0" borderId="25" xfId="0" applyFont="1" applyBorder="1" applyAlignment="1" applyProtection="1">
      <alignment vertical="center"/>
      <protection locked="0"/>
    </xf>
    <xf numFmtId="0" fontId="63" fillId="0" borderId="7" xfId="0" applyFont="1" applyBorder="1" applyProtection="1">
      <protection locked="0"/>
    </xf>
    <xf numFmtId="0" fontId="81" fillId="0" borderId="25" xfId="0" applyFont="1" applyBorder="1" applyProtection="1">
      <protection locked="0"/>
    </xf>
    <xf numFmtId="1" fontId="82" fillId="13" borderId="8" xfId="0" applyNumberFormat="1" applyFont="1" applyFill="1" applyBorder="1" applyAlignment="1">
      <alignment horizontal="center" vertical="center"/>
    </xf>
    <xf numFmtId="1" fontId="82" fillId="13" borderId="9" xfId="0" applyNumberFormat="1" applyFont="1" applyFill="1" applyBorder="1" applyAlignment="1">
      <alignment horizontal="center" vertical="center"/>
    </xf>
    <xf numFmtId="1" fontId="82" fillId="13" borderId="11" xfId="0" applyNumberFormat="1" applyFont="1" applyFill="1" applyBorder="1" applyAlignment="1">
      <alignment horizontal="center" vertical="center"/>
    </xf>
    <xf numFmtId="0" fontId="67" fillId="0" borderId="25" xfId="0" applyFont="1" applyBorder="1" applyAlignment="1" applyProtection="1">
      <alignment vertical="center"/>
      <protection locked="0"/>
    </xf>
    <xf numFmtId="0" fontId="72" fillId="0" borderId="54" xfId="0" applyFont="1" applyFill="1" applyBorder="1" applyProtection="1"/>
    <xf numFmtId="1" fontId="83" fillId="13" borderId="46" xfId="0" applyNumberFormat="1" applyFont="1" applyFill="1" applyBorder="1" applyAlignment="1">
      <alignment horizontal="center" vertical="center"/>
    </xf>
    <xf numFmtId="2" fontId="83" fillId="13" borderId="25" xfId="0" applyNumberFormat="1" applyFont="1" applyFill="1" applyBorder="1" applyAlignment="1">
      <alignment horizontal="center" vertical="center"/>
    </xf>
    <xf numFmtId="1" fontId="83" fillId="13" borderId="47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0" fillId="0" borderId="5" xfId="0" applyFont="1" applyBorder="1" applyAlignment="1">
      <alignment horizontal="center"/>
    </xf>
    <xf numFmtId="0" fontId="80" fillId="0" borderId="28" xfId="0" applyFont="1" applyBorder="1" applyAlignment="1">
      <alignment horizontal="center"/>
    </xf>
    <xf numFmtId="0" fontId="20" fillId="0" borderId="6" xfId="0" applyFont="1" applyBorder="1" applyAlignment="1">
      <alignment horizontal="left" vertical="center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74" fillId="4" borderId="6" xfId="0" applyFont="1" applyFill="1" applyBorder="1" applyAlignment="1">
      <alignment horizontal="left"/>
    </xf>
    <xf numFmtId="0" fontId="0" fillId="4" borderId="5" xfId="0" applyFill="1" applyBorder="1" applyAlignment="1"/>
    <xf numFmtId="0" fontId="0" fillId="4" borderId="3" xfId="0" applyFill="1" applyBorder="1" applyAlignment="1"/>
    <xf numFmtId="0" fontId="1" fillId="0" borderId="5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53" fillId="0" borderId="7" xfId="0" applyFont="1" applyBorder="1" applyAlignment="1" applyProtection="1">
      <alignment horizontal="left"/>
      <protection locked="0"/>
    </xf>
    <xf numFmtId="0" fontId="36" fillId="0" borderId="0" xfId="0" applyFont="1" applyBorder="1" applyAlignment="1" applyProtection="1">
      <alignment horizontal="left"/>
      <protection locked="0"/>
    </xf>
    <xf numFmtId="0" fontId="36" fillId="0" borderId="0" xfId="0" applyFont="1" applyBorder="1" applyAlignment="1"/>
    <xf numFmtId="14" fontId="35" fillId="0" borderId="7" xfId="0" applyNumberFormat="1" applyFont="1" applyBorder="1" applyAlignment="1" applyProtection="1">
      <alignment horizontal="center"/>
      <protection locked="0"/>
    </xf>
    <xf numFmtId="0" fontId="52" fillId="0" borderId="7" xfId="0" applyFont="1" applyBorder="1" applyAlignment="1" applyProtection="1">
      <protection locked="0"/>
    </xf>
    <xf numFmtId="0" fontId="0" fillId="0" borderId="7" xfId="0" applyBorder="1" applyAlignment="1"/>
    <xf numFmtId="0" fontId="52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5" xfId="0" applyBorder="1" applyAlignment="1"/>
    <xf numFmtId="0" fontId="0" fillId="0" borderId="28" xfId="0" applyBorder="1" applyAlignment="1"/>
    <xf numFmtId="0" fontId="36" fillId="0" borderId="7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76" fillId="0" borderId="55" xfId="0" applyNumberFormat="1" applyFont="1" applyFill="1" applyBorder="1" applyAlignment="1" applyProtection="1">
      <alignment horizontal="center"/>
      <protection locked="0"/>
    </xf>
    <xf numFmtId="0" fontId="76" fillId="0" borderId="25" xfId="0" applyNumberFormat="1" applyFont="1" applyBorder="1" applyAlignment="1">
      <alignment horizontal="center"/>
    </xf>
    <xf numFmtId="0" fontId="76" fillId="0" borderId="54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indent="1"/>
    </xf>
    <xf numFmtId="0" fontId="13" fillId="0" borderId="3" xfId="0" applyFont="1" applyBorder="1" applyAlignment="1">
      <alignment horizontal="left" indent="1"/>
    </xf>
    <xf numFmtId="0" fontId="14" fillId="0" borderId="27" xfId="0" applyFont="1" applyBorder="1" applyAlignment="1">
      <alignment horizontal="center"/>
    </xf>
    <xf numFmtId="0" fontId="5" fillId="0" borderId="8" xfId="0" applyFont="1" applyBorder="1" applyAlignment="1"/>
    <xf numFmtId="0" fontId="18" fillId="0" borderId="9" xfId="0" applyFont="1" applyBorder="1" applyAlignment="1"/>
    <xf numFmtId="0" fontId="18" fillId="0" borderId="11" xfId="0" applyFont="1" applyBorder="1" applyAlignment="1"/>
    <xf numFmtId="0" fontId="3" fillId="0" borderId="49" xfId="0" applyFont="1" applyFill="1" applyBorder="1" applyAlignment="1">
      <alignment horizontal="center" vertical="center"/>
    </xf>
    <xf numFmtId="0" fontId="0" fillId="0" borderId="53" xfId="0" applyBorder="1" applyAlignment="1"/>
    <xf numFmtId="0" fontId="44" fillId="0" borderId="25" xfId="0" applyFont="1" applyBorder="1" applyAlignment="1" applyProtection="1">
      <alignment vertical="center"/>
      <protection locked="0"/>
    </xf>
    <xf numFmtId="0" fontId="64" fillId="0" borderId="25" xfId="0" applyFont="1" applyBorder="1" applyAlignment="1"/>
    <xf numFmtId="0" fontId="64" fillId="0" borderId="47" xfId="0" applyFont="1" applyBorder="1" applyAlignment="1"/>
    <xf numFmtId="0" fontId="0" fillId="0" borderId="46" xfId="0" applyBorder="1" applyAlignment="1"/>
    <xf numFmtId="0" fontId="0" fillId="0" borderId="25" xfId="0" applyBorder="1" applyAlignment="1"/>
    <xf numFmtId="0" fontId="0" fillId="0" borderId="47" xfId="0" applyBorder="1" applyAlignment="1"/>
    <xf numFmtId="0" fontId="0" fillId="0" borderId="51" xfId="0" applyBorder="1" applyAlignment="1">
      <alignment horizontal="center"/>
    </xf>
    <xf numFmtId="0" fontId="0" fillId="0" borderId="50" xfId="0" applyBorder="1" applyAlignment="1"/>
    <xf numFmtId="0" fontId="0" fillId="0" borderId="52" xfId="0" applyBorder="1" applyAlignment="1"/>
    <xf numFmtId="0" fontId="0" fillId="0" borderId="51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0" fillId="0" borderId="52" xfId="0" applyFont="1" applyBorder="1" applyAlignment="1"/>
    <xf numFmtId="1" fontId="70" fillId="0" borderId="46" xfId="0" applyNumberFormat="1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49" fontId="69" fillId="0" borderId="46" xfId="0" applyNumberFormat="1" applyFont="1" applyBorder="1" applyAlignment="1" applyProtection="1">
      <protection locked="0"/>
    </xf>
    <xf numFmtId="49" fontId="0" fillId="0" borderId="25" xfId="0" applyNumberFormat="1" applyFont="1" applyBorder="1" applyAlignment="1"/>
    <xf numFmtId="49" fontId="0" fillId="0" borderId="47" xfId="0" applyNumberFormat="1" applyFont="1" applyBorder="1" applyAlignment="1"/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7" fillId="0" borderId="55" xfId="0" applyFont="1" applyFill="1" applyBorder="1" applyAlignment="1" applyProtection="1">
      <alignment horizontal="center"/>
      <protection locked="0"/>
    </xf>
    <xf numFmtId="0" fontId="77" fillId="0" borderId="54" xfId="0" applyFont="1" applyBorder="1" applyAlignment="1">
      <alignment horizontal="center"/>
    </xf>
    <xf numFmtId="0" fontId="77" fillId="0" borderId="54" xfId="0" applyFont="1" applyFill="1" applyBorder="1" applyAlignment="1" applyProtection="1">
      <alignment horizontal="center"/>
      <protection locked="0"/>
    </xf>
    <xf numFmtId="0" fontId="76" fillId="0" borderId="55" xfId="0" applyFont="1" applyFill="1" applyBorder="1" applyAlignment="1" applyProtection="1">
      <alignment horizontal="center"/>
      <protection locked="0"/>
    </xf>
    <xf numFmtId="0" fontId="76" fillId="0" borderId="54" xfId="0" applyFont="1" applyBorder="1" applyAlignment="1">
      <alignment horizontal="center"/>
    </xf>
    <xf numFmtId="0" fontId="77" fillId="0" borderId="55" xfId="0" applyNumberFormat="1" applyFont="1" applyFill="1" applyBorder="1" applyAlignment="1" applyProtection="1">
      <alignment horizontal="center"/>
      <protection locked="0"/>
    </xf>
    <xf numFmtId="0" fontId="77" fillId="0" borderId="25" xfId="0" applyNumberFormat="1" applyFont="1" applyBorder="1" applyAlignment="1">
      <alignment horizontal="center"/>
    </xf>
    <xf numFmtId="0" fontId="77" fillId="0" borderId="54" xfId="0" applyNumberFormat="1" applyFont="1" applyBorder="1" applyAlignment="1">
      <alignment horizontal="center"/>
    </xf>
    <xf numFmtId="0" fontId="77" fillId="0" borderId="55" xfId="0" applyFont="1" applyBorder="1" applyAlignment="1" applyProtection="1">
      <alignment horizontal="center"/>
      <protection locked="0"/>
    </xf>
    <xf numFmtId="0" fontId="78" fillId="0" borderId="54" xfId="0" applyFont="1" applyBorder="1" applyAlignment="1" applyProtection="1">
      <alignment horizontal="center"/>
      <protection locked="0"/>
    </xf>
    <xf numFmtId="0" fontId="77" fillId="0" borderId="55" xfId="0" applyNumberFormat="1" applyFont="1" applyBorder="1" applyAlignment="1" applyProtection="1">
      <alignment horizontal="center"/>
      <protection locked="0"/>
    </xf>
    <xf numFmtId="0" fontId="23" fillId="9" borderId="6" xfId="0" applyFont="1" applyFill="1" applyBorder="1" applyAlignment="1">
      <alignment horizontal="left" vertical="top" wrapText="1"/>
    </xf>
    <xf numFmtId="0" fontId="0" fillId="9" borderId="5" xfId="0" applyFill="1" applyBorder="1" applyAlignment="1">
      <alignment horizontal="left" vertical="top" wrapText="1"/>
    </xf>
    <xf numFmtId="0" fontId="0" fillId="9" borderId="3" xfId="0" applyFill="1" applyBorder="1" applyAlignment="1">
      <alignment horizontal="left" vertical="top" wrapText="1"/>
    </xf>
    <xf numFmtId="0" fontId="16" fillId="9" borderId="6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8" fillId="0" borderId="21" xfId="0" applyFont="1" applyBorder="1" applyAlignment="1"/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1" fillId="0" borderId="21" xfId="0" applyFont="1" applyBorder="1" applyAlignment="1">
      <alignment horizontal="left" vertical="center"/>
    </xf>
  </cellXfs>
  <cellStyles count="1">
    <cellStyle name="Normální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06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63</xdr:row>
      <xdr:rowOff>215900</xdr:rowOff>
    </xdr:from>
    <xdr:to>
      <xdr:col>35</xdr:col>
      <xdr:colOff>2705100</xdr:colOff>
      <xdr:row>64</xdr:row>
      <xdr:rowOff>225777</xdr:rowOff>
    </xdr:to>
    <xdr:pic>
      <xdr:nvPicPr>
        <xdr:cNvPr id="4659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282222</xdr:colOff>
      <xdr:row>1</xdr:row>
      <xdr:rowOff>21167</xdr:rowOff>
    </xdr:from>
    <xdr:to>
      <xdr:col>33</xdr:col>
      <xdr:colOff>338932</xdr:colOff>
      <xdr:row>1</xdr:row>
      <xdr:rowOff>381167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944" y="134056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50800</xdr:colOff>
      <xdr:row>2</xdr:row>
      <xdr:rowOff>93133</xdr:rowOff>
    </xdr:from>
    <xdr:to>
      <xdr:col>33</xdr:col>
      <xdr:colOff>424878</xdr:colOff>
      <xdr:row>9</xdr:row>
      <xdr:rowOff>110068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47267" y="609600"/>
          <a:ext cx="1525545" cy="15832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33</xdr:col>
      <xdr:colOff>330200</xdr:colOff>
      <xdr:row>73</xdr:row>
      <xdr:rowOff>121049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7867" y="15316200"/>
          <a:ext cx="6951133" cy="79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12</xdr:row>
      <xdr:rowOff>0</xdr:rowOff>
    </xdr:from>
    <xdr:to>
      <xdr:col>35</xdr:col>
      <xdr:colOff>558800</xdr:colOff>
      <xdr:row>16</xdr:row>
      <xdr:rowOff>11592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4933" y="3852333"/>
          <a:ext cx="3733800" cy="16371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9"/>
  <sheetViews>
    <sheetView showGridLines="0" tabSelected="1" zoomScale="90" zoomScaleNormal="90" workbookViewId="0">
      <selection activeCell="Z65" sqref="Z65"/>
    </sheetView>
  </sheetViews>
  <sheetFormatPr defaultRowHeight="13.2"/>
  <cols>
    <col min="1" max="1" width="4.21875" customWidth="1"/>
    <col min="2" max="2" width="22.7773437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4" width="3" customWidth="1"/>
    <col min="15" max="15" width="2.77734375" bestFit="1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4" customWidth="1"/>
    <col min="32" max="32" width="0.77734375" customWidth="1"/>
    <col min="33" max="33" width="4.21875" style="4" customWidth="1"/>
    <col min="34" max="34" width="6.44140625" customWidth="1"/>
    <col min="35" max="35" width="10.77734375" customWidth="1"/>
    <col min="36" max="36" width="48.77734375" customWidth="1"/>
    <col min="37" max="37" width="7.77734375" hidden="1" customWidth="1"/>
    <col min="38" max="41" width="10.77734375" hidden="1" customWidth="1"/>
    <col min="42" max="42" width="12.21875" hidden="1" customWidth="1"/>
    <col min="43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52" width="9.21875" hidden="1" customWidth="1"/>
    <col min="53" max="56" width="8.77734375" hidden="1" customWidth="1"/>
    <col min="57" max="61" width="8.88671875" hidden="1" customWidth="1"/>
    <col min="62" max="62" width="8.88671875" customWidth="1"/>
  </cols>
  <sheetData>
    <row r="1" spans="1:61" ht="9" customHeight="1" thickBot="1">
      <c r="AE1"/>
      <c r="AG1"/>
      <c r="BF1" s="40" t="s">
        <v>29</v>
      </c>
      <c r="BG1" s="40" t="s">
        <v>31</v>
      </c>
      <c r="BH1" s="40" t="s">
        <v>30</v>
      </c>
    </row>
    <row r="2" spans="1:61" ht="31.5" customHeight="1" thickBot="1">
      <c r="A2" s="28" t="str">
        <f>INDEX(BF5:BH5,$AJ$4)</f>
        <v xml:space="preserve">PROTOKOL - ČESKÝ SVAZ CYKLISTIKY  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"/>
      <c r="AJ2" s="46" t="str">
        <f>INDEX(BF4:BH4,$AJ$4)</f>
        <v>MIMO OBLAST TISKU</v>
      </c>
      <c r="AK2" s="46"/>
      <c r="AL2" s="46"/>
      <c r="AM2" s="46"/>
      <c r="AN2" s="46"/>
      <c r="AO2" s="46"/>
      <c r="AP2" s="46"/>
      <c r="AQ2" s="46"/>
      <c r="AR2" s="47"/>
      <c r="BE2" s="43"/>
      <c r="BF2" s="43"/>
      <c r="BG2" s="43"/>
      <c r="BH2" s="43"/>
    </row>
    <row r="3" spans="1:61" ht="10.5" customHeight="1" thickBot="1">
      <c r="A3" s="9"/>
      <c r="B3" s="9"/>
      <c r="C3" s="9"/>
      <c r="D3" s="9"/>
      <c r="E3" s="9"/>
      <c r="F3" s="9"/>
      <c r="G3" s="9"/>
      <c r="H3" s="9"/>
      <c r="AE3"/>
      <c r="AG3"/>
      <c r="AJ3" s="42" t="str">
        <f>INDEX(BF3:BH3,$AJ$4)</f>
        <v>Prosím pro jazyk zadejte číslo</v>
      </c>
      <c r="AM3" s="201" t="s">
        <v>168</v>
      </c>
      <c r="AN3" s="202">
        <v>5</v>
      </c>
      <c r="AX3" s="59"/>
      <c r="AY3" s="60"/>
      <c r="AZ3" s="60"/>
      <c r="BE3" s="43"/>
      <c r="BF3" s="58" t="s">
        <v>143</v>
      </c>
      <c r="BG3" s="61" t="s">
        <v>144</v>
      </c>
      <c r="BH3" s="59" t="s">
        <v>145</v>
      </c>
      <c r="BI3" s="59"/>
    </row>
    <row r="4" spans="1:61" ht="20.100000000000001" customHeight="1" thickTop="1" thickBot="1">
      <c r="A4" s="9"/>
      <c r="B4" s="10" t="str">
        <f>INDEX(BF6:BH6,$AJ$4)</f>
        <v>o soutěži v kolové:</v>
      </c>
      <c r="C4" s="345" t="s">
        <v>211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244"/>
      <c r="AC4" s="244"/>
      <c r="AD4" s="5"/>
      <c r="AE4" s="5"/>
      <c r="AF4" s="5"/>
      <c r="AG4" s="5"/>
      <c r="AH4" s="5"/>
      <c r="AJ4" s="162">
        <v>1</v>
      </c>
      <c r="AN4" s="202">
        <v>6</v>
      </c>
      <c r="AX4" s="48"/>
      <c r="BE4" s="43"/>
      <c r="BF4" s="48" t="s">
        <v>27</v>
      </c>
      <c r="BG4" s="48" t="s">
        <v>115</v>
      </c>
      <c r="BH4" s="48" t="s">
        <v>116</v>
      </c>
      <c r="BI4" s="48"/>
    </row>
    <row r="5" spans="1:61" ht="20.100000000000001" customHeight="1" thickTop="1">
      <c r="A5" s="9"/>
      <c r="B5" s="10" t="str">
        <f>INDEX(BF7:BH7,$AJ$4)</f>
        <v>konané dne:</v>
      </c>
      <c r="C5" s="348">
        <v>46130</v>
      </c>
      <c r="D5" s="348"/>
      <c r="E5" s="348"/>
      <c r="F5" s="348"/>
      <c r="G5" s="348"/>
      <c r="H5" s="348"/>
      <c r="I5" s="348"/>
      <c r="J5" s="348"/>
      <c r="K5" s="348"/>
      <c r="L5" s="54"/>
      <c r="M5" s="21"/>
      <c r="N5" s="166"/>
      <c r="O5" s="14" t="str">
        <f>INDEX(BF8:BH8,$AJ$4)</f>
        <v>v</v>
      </c>
      <c r="P5" s="166"/>
      <c r="Q5" s="56" t="s">
        <v>212</v>
      </c>
      <c r="R5" s="56"/>
      <c r="S5" s="56"/>
      <c r="T5" s="56"/>
      <c r="U5" s="57"/>
      <c r="V5" s="57"/>
      <c r="W5" s="57"/>
      <c r="X5" s="57"/>
      <c r="Y5" s="57"/>
      <c r="Z5" s="57"/>
      <c r="AA5" s="57"/>
      <c r="AB5" s="57"/>
      <c r="AC5" s="57"/>
      <c r="AE5"/>
      <c r="AG5"/>
      <c r="AJ5" s="157" t="s">
        <v>166</v>
      </c>
      <c r="AN5" s="202">
        <v>7</v>
      </c>
      <c r="AX5" s="48"/>
      <c r="BE5" s="43"/>
      <c r="BF5" s="49" t="s">
        <v>19</v>
      </c>
      <c r="BG5" s="49" t="s">
        <v>68</v>
      </c>
      <c r="BH5" s="49" t="s">
        <v>71</v>
      </c>
      <c r="BI5" s="49"/>
    </row>
    <row r="6" spans="1:61" ht="20.100000000000001" customHeight="1">
      <c r="A6" s="9"/>
      <c r="B6" s="10" t="str">
        <f>INDEX(BF9:BH9,$AJ$4)</f>
        <v>tělovýchovným spolkem - klubem:</v>
      </c>
      <c r="C6" s="9"/>
      <c r="D6" s="9"/>
      <c r="E6" s="9"/>
      <c r="F6" s="11"/>
      <c r="G6" s="12"/>
      <c r="H6" s="12"/>
      <c r="I6" s="13"/>
      <c r="J6" s="13"/>
      <c r="K6" s="356" t="s">
        <v>179</v>
      </c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21"/>
      <c r="AC6" s="21"/>
      <c r="AE6"/>
      <c r="AG6"/>
      <c r="AJ6" s="157"/>
      <c r="AM6" s="203" t="s">
        <v>169</v>
      </c>
      <c r="AN6" s="202"/>
      <c r="AX6" s="48"/>
      <c r="BE6" s="43"/>
      <c r="BF6" s="49" t="s">
        <v>69</v>
      </c>
      <c r="BG6" s="49" t="s">
        <v>38</v>
      </c>
      <c r="BH6" s="49" t="s">
        <v>98</v>
      </c>
      <c r="BI6" s="49"/>
    </row>
    <row r="7" spans="1:61" ht="20.100000000000001" customHeight="1">
      <c r="A7" s="9"/>
      <c r="B7" s="10" t="str">
        <f>INDEX(BF10:BH10,$AJ$4)</f>
        <v>hrací plocha:</v>
      </c>
      <c r="C7" s="349">
        <v>11</v>
      </c>
      <c r="D7" s="350"/>
      <c r="E7" s="208" t="s">
        <v>149</v>
      </c>
      <c r="F7" s="351">
        <v>14</v>
      </c>
      <c r="G7" s="352"/>
      <c r="H7" s="56" t="s">
        <v>150</v>
      </c>
      <c r="I7" s="55"/>
      <c r="J7" s="54"/>
      <c r="K7" s="53"/>
      <c r="L7" s="54"/>
      <c r="M7" s="4"/>
      <c r="N7" s="15"/>
      <c r="O7" s="4"/>
      <c r="P7" s="4"/>
      <c r="Q7" s="44" t="str">
        <f>INDEX(BF11:BH11,$AJ$4)</f>
        <v>doba hry:</v>
      </c>
      <c r="R7" s="163">
        <v>2</v>
      </c>
      <c r="S7" s="164"/>
      <c r="T7" s="163" t="s">
        <v>149</v>
      </c>
      <c r="U7" s="207">
        <v>6</v>
      </c>
      <c r="V7" s="165"/>
      <c r="W7" s="163" t="s">
        <v>151</v>
      </c>
      <c r="X7" s="163"/>
      <c r="Y7" s="57"/>
      <c r="Z7" s="57"/>
      <c r="AA7" s="57"/>
      <c r="AB7" s="57"/>
      <c r="AC7" s="57"/>
      <c r="AE7"/>
      <c r="AG7"/>
      <c r="AJ7" s="157"/>
      <c r="AM7" s="204" t="s">
        <v>141</v>
      </c>
      <c r="AN7" s="204"/>
      <c r="AX7" s="48"/>
      <c r="BE7" s="43"/>
      <c r="BF7" s="49" t="s">
        <v>70</v>
      </c>
      <c r="BG7" s="49" t="s">
        <v>39</v>
      </c>
      <c r="BH7" s="49" t="s">
        <v>79</v>
      </c>
      <c r="BI7" s="48"/>
    </row>
    <row r="8" spans="1:61" ht="9" customHeight="1" thickBot="1">
      <c r="AE8"/>
      <c r="AG8"/>
      <c r="AM8" s="203" t="s">
        <v>169</v>
      </c>
      <c r="AN8" s="205"/>
      <c r="AX8" s="48"/>
      <c r="BE8" s="43"/>
      <c r="BF8" s="49" t="s">
        <v>0</v>
      </c>
      <c r="BG8" s="49" t="s">
        <v>40</v>
      </c>
      <c r="BH8" s="49" t="s">
        <v>40</v>
      </c>
      <c r="BI8" s="49"/>
    </row>
    <row r="9" spans="1:61" ht="24" customHeight="1" thickBot="1">
      <c r="A9" s="336" t="str">
        <f>INDEX(BF12:BH12,$AJ$4)</f>
        <v>Startující</v>
      </c>
      <c r="B9" s="337"/>
      <c r="C9" s="337"/>
      <c r="D9" s="337"/>
      <c r="E9" s="337"/>
      <c r="F9" s="337"/>
      <c r="G9" s="337"/>
      <c r="H9" s="338"/>
      <c r="AE9"/>
      <c r="AG9"/>
      <c r="AN9" s="206" t="s">
        <v>170</v>
      </c>
      <c r="AX9" s="48"/>
      <c r="BE9" s="43"/>
      <c r="BF9" s="159" t="s">
        <v>141</v>
      </c>
      <c r="BG9" s="49" t="s">
        <v>64</v>
      </c>
      <c r="BH9" s="49" t="s">
        <v>80</v>
      </c>
      <c r="BI9" s="48"/>
    </row>
    <row r="10" spans="1:61" ht="9.75" customHeight="1" thickBot="1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AE10"/>
      <c r="AG10"/>
      <c r="AN10" s="205" t="s">
        <v>173</v>
      </c>
      <c r="AX10" s="48"/>
      <c r="BE10" s="43"/>
      <c r="BF10" s="49" t="s">
        <v>42</v>
      </c>
      <c r="BG10" s="49" t="s">
        <v>41</v>
      </c>
      <c r="BH10" s="49" t="s">
        <v>81</v>
      </c>
      <c r="BI10" s="49"/>
    </row>
    <row r="11" spans="1:61" ht="13.5" customHeight="1" thickBot="1">
      <c r="A11" s="16"/>
      <c r="B11" s="353" t="str">
        <f>INDEX(BF13:BH13,$AJ$4)</f>
        <v>Těl. spolek - klub</v>
      </c>
      <c r="C11" s="354"/>
      <c r="D11" s="354"/>
      <c r="E11" s="355"/>
      <c r="F11" s="332" t="str">
        <f>INDEX(BF14:BH14,$AJ$4)</f>
        <v>JMÉNO</v>
      </c>
      <c r="G11" s="333"/>
      <c r="H11" s="333"/>
      <c r="I11" s="333"/>
      <c r="J11" s="333"/>
      <c r="K11" s="333"/>
      <c r="L11" s="333"/>
      <c r="M11" s="333"/>
      <c r="N11" s="333"/>
      <c r="O11" s="333"/>
      <c r="P11" s="334">
        <v>2026</v>
      </c>
      <c r="Q11" s="335"/>
      <c r="R11" s="332" t="str">
        <f>INDEX(BF15:BH15,$AJ$4)</f>
        <v>UCI-ID</v>
      </c>
      <c r="S11" s="357"/>
      <c r="T11" s="357"/>
      <c r="U11" s="357"/>
      <c r="V11" s="358"/>
      <c r="W11" s="332" t="str">
        <f>INDEX(BF14:BH14,$AJ$4)</f>
        <v>JMÉNO</v>
      </c>
      <c r="X11" s="333"/>
      <c r="Y11" s="333"/>
      <c r="Z11" s="333"/>
      <c r="AA11" s="333"/>
      <c r="AB11" s="333"/>
      <c r="AC11" s="333"/>
      <c r="AD11" s="333"/>
      <c r="AE11" s="304">
        <v>2026</v>
      </c>
      <c r="AF11" s="209"/>
      <c r="AG11" s="332" t="str">
        <f>INDEX(BF15:BH15,$AJ$4)</f>
        <v>UCI-ID</v>
      </c>
      <c r="AH11" s="390"/>
      <c r="AN11" s="205" t="s">
        <v>174</v>
      </c>
      <c r="AX11" s="48"/>
      <c r="BE11" s="43"/>
      <c r="BF11" s="49" t="s">
        <v>43</v>
      </c>
      <c r="BG11" s="49" t="s">
        <v>44</v>
      </c>
      <c r="BH11" s="49" t="s">
        <v>82</v>
      </c>
      <c r="BI11" s="49"/>
    </row>
    <row r="12" spans="1:61" ht="18" customHeight="1">
      <c r="A12" s="185">
        <v>1</v>
      </c>
      <c r="B12" s="186" t="str">
        <f>IF('Pořadí zápasů 5 Teams_Spielplan'!Q6=0,"",'Pořadí zápasů 5 Teams_Spielplan'!Q6)</f>
        <v>Sokol Zlín-Prštné 1</v>
      </c>
      <c r="C12" s="187"/>
      <c r="D12" s="187"/>
      <c r="E12" s="188"/>
      <c r="F12" s="305" t="s">
        <v>220</v>
      </c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7">
        <v>17</v>
      </c>
      <c r="R12" s="359">
        <v>10089244226</v>
      </c>
      <c r="S12" s="360"/>
      <c r="T12" s="360"/>
      <c r="U12" s="360"/>
      <c r="V12" s="361"/>
      <c r="W12" s="308" t="s">
        <v>221</v>
      </c>
      <c r="X12" s="306"/>
      <c r="Y12" s="306"/>
      <c r="Z12" s="306"/>
      <c r="AA12" s="306"/>
      <c r="AB12" s="306"/>
      <c r="AC12" s="306"/>
      <c r="AD12" s="306"/>
      <c r="AE12" s="290">
        <v>17</v>
      </c>
      <c r="AF12" s="309"/>
      <c r="AG12" s="391">
        <v>10078013545</v>
      </c>
      <c r="AH12" s="393"/>
      <c r="AI12" s="17"/>
      <c r="AJ12" s="172" t="s">
        <v>155</v>
      </c>
      <c r="AK12" s="17"/>
      <c r="AN12" s="205" t="s">
        <v>172</v>
      </c>
      <c r="AX12" s="48"/>
      <c r="BE12" s="43"/>
      <c r="BF12" s="49" t="s">
        <v>1</v>
      </c>
      <c r="BG12" s="49" t="s">
        <v>45</v>
      </c>
      <c r="BH12" s="63" t="s">
        <v>84</v>
      </c>
      <c r="BI12" s="49"/>
    </row>
    <row r="13" spans="1:61" ht="18" customHeight="1">
      <c r="A13" s="189">
        <v>2</v>
      </c>
      <c r="B13" s="190" t="str">
        <f>IF('Pořadí zápasů 5 Teams_Spielplan'!Q7=0,"",'Pořadí zápasů 5 Teams_Spielplan'!Q7)</f>
        <v>Sokol Zlín-Prštné 2</v>
      </c>
      <c r="C13" s="191"/>
      <c r="D13" s="191"/>
      <c r="E13" s="192"/>
      <c r="F13" s="308" t="s">
        <v>222</v>
      </c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7">
        <v>16</v>
      </c>
      <c r="R13" s="359">
        <v>10092750471</v>
      </c>
      <c r="S13" s="360"/>
      <c r="T13" s="360"/>
      <c r="U13" s="360"/>
      <c r="V13" s="361"/>
      <c r="W13" s="308" t="s">
        <v>223</v>
      </c>
      <c r="X13" s="306"/>
      <c r="Y13" s="306"/>
      <c r="Z13" s="306"/>
      <c r="AA13" s="306"/>
      <c r="AB13" s="306"/>
      <c r="AC13" s="306"/>
      <c r="AD13" s="306"/>
      <c r="AE13" s="290">
        <v>18</v>
      </c>
      <c r="AF13" s="309"/>
      <c r="AG13" s="394">
        <v>10124335085</v>
      </c>
      <c r="AH13" s="395"/>
      <c r="AI13" s="17"/>
      <c r="AJ13" s="68" t="s">
        <v>156</v>
      </c>
      <c r="AK13" s="17"/>
      <c r="AN13" s="205" t="s">
        <v>171</v>
      </c>
      <c r="AX13" s="48"/>
      <c r="BE13" s="43"/>
      <c r="BF13" s="159" t="s">
        <v>142</v>
      </c>
      <c r="BG13" s="49" t="s">
        <v>47</v>
      </c>
      <c r="BH13" s="49" t="s">
        <v>83</v>
      </c>
      <c r="BI13" s="49"/>
    </row>
    <row r="14" spans="1:61" ht="18" customHeight="1">
      <c r="A14" s="189">
        <v>3</v>
      </c>
      <c r="B14" s="190" t="str">
        <f>IF('Pořadí zápasů 5 Teams_Spielplan'!Q8=0,"",'Pořadí zápasů 5 Teams_Spielplan'!Q8)</f>
        <v>Sokol Šitbořice</v>
      </c>
      <c r="C14" s="191"/>
      <c r="D14" s="191"/>
      <c r="E14" s="192"/>
      <c r="F14" s="310" t="s">
        <v>224</v>
      </c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311">
        <v>14</v>
      </c>
      <c r="R14" s="396">
        <v>10134812200</v>
      </c>
      <c r="S14" s="397"/>
      <c r="T14" s="397"/>
      <c r="U14" s="397"/>
      <c r="V14" s="398"/>
      <c r="W14" s="308" t="s">
        <v>225</v>
      </c>
      <c r="X14" s="298"/>
      <c r="Y14" s="298"/>
      <c r="Z14" s="298"/>
      <c r="AA14" s="298"/>
      <c r="AB14" s="298"/>
      <c r="AC14" s="298"/>
      <c r="AD14" s="298"/>
      <c r="AE14" s="298">
        <v>14</v>
      </c>
      <c r="AF14" s="312"/>
      <c r="AG14" s="399">
        <v>10099764177</v>
      </c>
      <c r="AH14" s="400"/>
      <c r="AI14" s="18"/>
      <c r="AJ14" s="68" t="s">
        <v>157</v>
      </c>
      <c r="AK14" s="18"/>
      <c r="AN14" s="205" t="s">
        <v>175</v>
      </c>
      <c r="AR14" s="18"/>
      <c r="AX14" s="48"/>
      <c r="BE14" s="43"/>
      <c r="BF14" s="49" t="s">
        <v>2</v>
      </c>
      <c r="BG14" s="49" t="s">
        <v>46</v>
      </c>
      <c r="BH14" s="49" t="s">
        <v>85</v>
      </c>
      <c r="BI14" s="49"/>
    </row>
    <row r="15" spans="1:61" ht="18" customHeight="1">
      <c r="A15" s="189">
        <v>4</v>
      </c>
      <c r="B15" s="190" t="str">
        <f>IF('Pořadí zápasů 5 Teams_Spielplan'!Q9=0,"",'Pořadí zápasů 5 Teams_Spielplan'!Q9)</f>
        <v>Šitbořice/Nezamyslice</v>
      </c>
      <c r="C15" s="191"/>
      <c r="D15" s="191"/>
      <c r="E15" s="192"/>
      <c r="F15" s="310" t="s">
        <v>226</v>
      </c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311">
        <v>16</v>
      </c>
      <c r="R15" s="396">
        <v>10108151748</v>
      </c>
      <c r="S15" s="397"/>
      <c r="T15" s="397"/>
      <c r="U15" s="397"/>
      <c r="V15" s="398"/>
      <c r="W15" s="308" t="s">
        <v>227</v>
      </c>
      <c r="X15" s="298"/>
      <c r="Y15" s="298"/>
      <c r="Z15" s="298"/>
      <c r="AA15" s="298"/>
      <c r="AB15" s="298"/>
      <c r="AC15" s="298"/>
      <c r="AD15" s="298"/>
      <c r="AE15" s="313">
        <v>18</v>
      </c>
      <c r="AF15" s="314"/>
      <c r="AG15" s="399">
        <v>10123871812</v>
      </c>
      <c r="AH15" s="400"/>
      <c r="AI15" s="18"/>
      <c r="AJ15" s="18"/>
      <c r="AK15" s="18"/>
      <c r="AN15" s="206" t="s">
        <v>176</v>
      </c>
      <c r="AR15" s="18"/>
      <c r="AX15" s="48"/>
      <c r="BE15" s="43"/>
      <c r="BF15" s="159" t="s">
        <v>183</v>
      </c>
      <c r="BG15" s="159" t="s">
        <v>183</v>
      </c>
      <c r="BH15" s="159" t="s">
        <v>183</v>
      </c>
      <c r="BI15" s="49"/>
    </row>
    <row r="16" spans="1:61" ht="18" customHeight="1">
      <c r="A16" s="189">
        <v>5</v>
      </c>
      <c r="B16" s="190" t="str">
        <f>IF('Pořadí zápasů 5 Teams_Spielplan'!Q10=0,"",'Pořadí zápasů 5 Teams_Spielplan'!Q10)</f>
        <v>Lokomotiva Liberec</v>
      </c>
      <c r="C16" s="191"/>
      <c r="D16" s="191"/>
      <c r="E16" s="192"/>
      <c r="F16" s="308" t="s">
        <v>228</v>
      </c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311">
        <v>16</v>
      </c>
      <c r="R16" s="401">
        <v>10106104846</v>
      </c>
      <c r="S16" s="397"/>
      <c r="T16" s="397"/>
      <c r="U16" s="397"/>
      <c r="V16" s="398"/>
      <c r="W16" s="308" t="s">
        <v>229</v>
      </c>
      <c r="X16" s="289"/>
      <c r="Y16" s="289"/>
      <c r="Z16" s="289"/>
      <c r="AA16" s="289"/>
      <c r="AB16" s="289"/>
      <c r="AC16" s="289"/>
      <c r="AD16" s="289"/>
      <c r="AE16" s="315">
        <v>16</v>
      </c>
      <c r="AF16" s="311"/>
      <c r="AG16" s="391">
        <v>10111259182</v>
      </c>
      <c r="AH16" s="392"/>
      <c r="AI16" s="17"/>
      <c r="AJ16" s="17"/>
      <c r="AK16" s="17"/>
      <c r="AN16" s="205" t="s">
        <v>177</v>
      </c>
      <c r="AR16" s="17"/>
      <c r="AX16" s="48"/>
      <c r="BE16" s="43"/>
      <c r="BF16" s="49" t="s">
        <v>3</v>
      </c>
      <c r="BG16" s="49" t="s">
        <v>51</v>
      </c>
      <c r="BH16" s="49" t="s">
        <v>75</v>
      </c>
      <c r="BI16" s="49"/>
    </row>
    <row r="17" spans="1:61" ht="18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N17" s="206" t="s">
        <v>178</v>
      </c>
      <c r="AR17" s="17"/>
      <c r="AX17" s="48"/>
      <c r="BE17" s="43"/>
      <c r="BF17" s="49" t="s">
        <v>32</v>
      </c>
      <c r="BG17" s="49" t="s">
        <v>99</v>
      </c>
      <c r="BH17" s="49" t="s">
        <v>76</v>
      </c>
      <c r="BI17" s="49"/>
    </row>
    <row r="18" spans="1:61" ht="11.5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N18" s="205" t="s">
        <v>179</v>
      </c>
      <c r="AR18" s="17"/>
      <c r="AX18" s="48"/>
      <c r="BE18" s="43"/>
      <c r="BF18" s="49" t="s">
        <v>33</v>
      </c>
      <c r="BG18" s="49" t="s">
        <v>48</v>
      </c>
      <c r="BH18" s="49" t="s">
        <v>77</v>
      </c>
      <c r="BI18" s="49"/>
    </row>
    <row r="19" spans="1:61" ht="11.55" customHeight="1">
      <c r="A19" s="110"/>
      <c r="B19" s="111"/>
      <c r="C19" s="112"/>
      <c r="D19" s="112"/>
      <c r="E19" s="111"/>
      <c r="F19" s="346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7"/>
      <c r="AJ19" s="17"/>
      <c r="AK19" s="17"/>
      <c r="AN19" s="206" t="s">
        <v>180</v>
      </c>
      <c r="AR19" s="17"/>
      <c r="AX19" s="48"/>
      <c r="BE19" s="43"/>
      <c r="BF19" s="48" t="s">
        <v>16</v>
      </c>
      <c r="BG19" s="48" t="s">
        <v>113</v>
      </c>
      <c r="BH19" t="s">
        <v>114</v>
      </c>
      <c r="BI19" s="49"/>
    </row>
    <row r="20" spans="1:61" ht="9.75" customHeight="1" thickBot="1">
      <c r="AE20"/>
      <c r="AG20"/>
      <c r="AN20" s="206" t="s">
        <v>181</v>
      </c>
      <c r="AX20" s="48"/>
      <c r="BE20" s="43"/>
      <c r="BF20" s="270" t="s">
        <v>17</v>
      </c>
      <c r="BG20" s="220" t="s">
        <v>36</v>
      </c>
      <c r="BH20" s="220" t="s">
        <v>86</v>
      </c>
      <c r="BI20" s="49"/>
    </row>
    <row r="21" spans="1:61" ht="24" customHeight="1" thickBot="1">
      <c r="A21" s="336" t="str">
        <f>INDEX(BF16:BH16,$AJ$4)</f>
        <v>Rozhodčí</v>
      </c>
      <c r="B21" s="337"/>
      <c r="C21" s="337"/>
      <c r="D21" s="337"/>
      <c r="E21" s="337"/>
      <c r="F21" s="337"/>
      <c r="G21" s="337"/>
      <c r="H21" s="338"/>
      <c r="AE21"/>
      <c r="AG21"/>
      <c r="AN21" s="205" t="s">
        <v>182</v>
      </c>
      <c r="AX21" s="48"/>
      <c r="BE21" s="43"/>
      <c r="BF21" s="49" t="s">
        <v>34</v>
      </c>
      <c r="BG21" s="49" t="s">
        <v>49</v>
      </c>
      <c r="BH21" s="49" t="s">
        <v>78</v>
      </c>
      <c r="BI21" s="48"/>
    </row>
    <row r="22" spans="1:61" ht="6.75" customHeight="1">
      <c r="AE22"/>
      <c r="AG22"/>
      <c r="AX22" s="48"/>
      <c r="BE22" s="43"/>
      <c r="BF22" s="49" t="s">
        <v>4</v>
      </c>
      <c r="BG22" s="49" t="s">
        <v>50</v>
      </c>
      <c r="BH22" s="49" t="s">
        <v>75</v>
      </c>
      <c r="BI22" s="48"/>
    </row>
    <row r="23" spans="1:61" ht="20.100000000000001" customHeight="1">
      <c r="A23" s="9"/>
      <c r="B23" s="19" t="str">
        <f>INDEX(BF17:BH17,$AJ$4)</f>
        <v>Hlavní rozhodčí:</v>
      </c>
      <c r="C23" s="210" t="s">
        <v>230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58"/>
      <c r="Q23" s="17"/>
      <c r="R23" s="19"/>
      <c r="S23" s="17"/>
      <c r="T23" s="17"/>
      <c r="U23" s="45" t="str">
        <f>INDEX(BF22:BH22,$AJ$4)</f>
        <v>Rozhodčí:</v>
      </c>
      <c r="V23" s="17"/>
      <c r="W23" s="53" t="s">
        <v>230</v>
      </c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X23" s="48"/>
      <c r="BE23" s="43"/>
      <c r="BF23" s="49" t="s">
        <v>203</v>
      </c>
      <c r="BG23" s="49" t="s">
        <v>204</v>
      </c>
      <c r="BH23" s="49" t="s">
        <v>205</v>
      </c>
      <c r="BI23" s="48"/>
    </row>
    <row r="24" spans="1:61" ht="20.100000000000001" customHeight="1">
      <c r="A24" s="9"/>
      <c r="B24" s="19" t="str">
        <f>INDEX(BF18:BH18,$AJ$4)</f>
        <v>Časoměřič:</v>
      </c>
      <c r="C24" s="211"/>
      <c r="D24" s="54"/>
      <c r="E24" s="54"/>
      <c r="F24" s="54"/>
      <c r="G24" s="54"/>
      <c r="H24" s="54"/>
      <c r="I24" s="54"/>
      <c r="J24" s="54"/>
      <c r="K24" s="53"/>
      <c r="L24" s="54"/>
      <c r="M24" s="54"/>
      <c r="N24" s="54"/>
      <c r="O24" s="54"/>
      <c r="P24" s="17"/>
      <c r="Q24" s="17"/>
      <c r="R24" s="17"/>
      <c r="S24" s="17"/>
      <c r="T24" s="17"/>
      <c r="U24" s="17"/>
      <c r="V24" s="17"/>
      <c r="W24" s="316" t="s">
        <v>231</v>
      </c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X24" s="48"/>
      <c r="BE24" s="43"/>
      <c r="BF24" s="49" t="s">
        <v>5</v>
      </c>
      <c r="BG24" s="49" t="s">
        <v>67</v>
      </c>
      <c r="BH24" s="49" t="s">
        <v>87</v>
      </c>
      <c r="BI24" s="48"/>
    </row>
    <row r="25" spans="1:61" ht="20.100000000000001" customHeight="1">
      <c r="A25" s="9"/>
      <c r="B25" s="19" t="str">
        <f>INDEX(BF21:BH21,$AJ$4)</f>
        <v>Zapisovatel:</v>
      </c>
      <c r="C25" s="211"/>
      <c r="D25" s="54"/>
      <c r="E25" s="54"/>
      <c r="F25" s="54"/>
      <c r="G25" s="54"/>
      <c r="H25" s="54"/>
      <c r="I25" s="54"/>
      <c r="J25" s="54"/>
      <c r="K25" s="53"/>
      <c r="L25" s="54"/>
      <c r="M25" s="54"/>
      <c r="N25" s="54"/>
      <c r="O25" s="54"/>
      <c r="P25" s="17"/>
      <c r="Q25" s="17"/>
      <c r="R25" s="17"/>
      <c r="S25" s="17"/>
      <c r="T25" s="17"/>
      <c r="U25" s="17"/>
      <c r="V25" s="17"/>
      <c r="W25" s="316" t="s">
        <v>232</v>
      </c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X25" s="48"/>
      <c r="BE25" s="43"/>
      <c r="BF25" s="49" t="s">
        <v>26</v>
      </c>
      <c r="BG25" s="49" t="s">
        <v>37</v>
      </c>
      <c r="BH25" s="49" t="s">
        <v>88</v>
      </c>
      <c r="BI25" s="48"/>
    </row>
    <row r="26" spans="1:61" ht="20.100000000000001" customHeight="1">
      <c r="B26" s="17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17"/>
      <c r="Q26" s="17"/>
      <c r="R26" s="17"/>
      <c r="S26" s="17"/>
      <c r="T26" s="17"/>
      <c r="U26" s="17"/>
      <c r="V26" s="17"/>
      <c r="W26" s="316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X26" s="48"/>
      <c r="BE26" s="43"/>
      <c r="BF26" s="49" t="s">
        <v>6</v>
      </c>
      <c r="BG26" s="49" t="s">
        <v>63</v>
      </c>
      <c r="BH26" s="49" t="s">
        <v>90</v>
      </c>
      <c r="BI26" s="48"/>
    </row>
    <row r="27" spans="1:61" ht="15" customHeight="1" thickBot="1"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J27" s="17"/>
      <c r="AX27" s="48"/>
      <c r="BE27" s="43"/>
      <c r="BF27" s="49" t="s">
        <v>8</v>
      </c>
      <c r="BG27" s="49" t="s">
        <v>52</v>
      </c>
      <c r="BH27" s="49" t="s">
        <v>89</v>
      </c>
      <c r="BI27" s="48"/>
    </row>
    <row r="28" spans="1:61" ht="24" customHeight="1" thickBot="1">
      <c r="A28" s="287" t="str">
        <f>INDEX(BF23:BH23,$AJ$4)</f>
        <v>Výsledky-základní skupina</v>
      </c>
      <c r="B28" s="243"/>
      <c r="C28" s="243"/>
      <c r="D28" s="243"/>
      <c r="E28" s="243"/>
      <c r="F28" s="243"/>
      <c r="G28" s="243"/>
      <c r="H28" s="288"/>
      <c r="I28" s="243"/>
      <c r="J28" s="243"/>
      <c r="K28" s="243"/>
      <c r="L28" s="243"/>
      <c r="M28" s="243"/>
      <c r="N28" s="288"/>
      <c r="P28" s="5"/>
      <c r="S28" s="5"/>
      <c r="V28" s="5"/>
      <c r="Y28" s="5"/>
      <c r="AB28" s="5"/>
      <c r="AF28" s="5"/>
      <c r="AX28" s="48"/>
      <c r="BE28" s="43"/>
      <c r="BF28" s="49" t="s">
        <v>146</v>
      </c>
      <c r="BG28" s="49" t="s">
        <v>147</v>
      </c>
      <c r="BH28" s="49" t="s">
        <v>148</v>
      </c>
      <c r="BI28" s="48"/>
    </row>
    <row r="29" spans="1:61" ht="12" customHeight="1" thickBot="1"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60"/>
      <c r="AB29" s="60"/>
      <c r="AC29" s="60"/>
      <c r="AX29" s="48"/>
      <c r="BE29" s="43"/>
      <c r="BF29" s="49" t="s">
        <v>35</v>
      </c>
      <c r="BG29" s="49" t="s">
        <v>53</v>
      </c>
      <c r="BH29" s="49" t="s">
        <v>100</v>
      </c>
      <c r="BI29" s="48"/>
    </row>
    <row r="30" spans="1:61" ht="15" customHeight="1" thickBot="1">
      <c r="A30" s="1"/>
      <c r="B30" s="2" t="str">
        <f>INDEX(BF13:BH13,$AJ$4)</f>
        <v>Těl. spolek - klub</v>
      </c>
      <c r="C30" s="6">
        <v>1</v>
      </c>
      <c r="D30" s="7"/>
      <c r="E30" s="7"/>
      <c r="F30" s="6">
        <v>2</v>
      </c>
      <c r="G30" s="7"/>
      <c r="H30" s="7"/>
      <c r="I30" s="6">
        <v>3</v>
      </c>
      <c r="J30" s="7"/>
      <c r="K30" s="7"/>
      <c r="L30" s="6">
        <v>4</v>
      </c>
      <c r="M30" s="7"/>
      <c r="N30" s="7"/>
      <c r="O30" s="6">
        <v>5</v>
      </c>
      <c r="P30" s="7"/>
      <c r="Q30" s="7"/>
      <c r="R30" s="66">
        <v>6</v>
      </c>
      <c r="S30" s="67"/>
      <c r="T30" s="67"/>
      <c r="U30" s="66">
        <v>7</v>
      </c>
      <c r="V30" s="67"/>
      <c r="W30" s="67"/>
      <c r="X30" s="66">
        <v>8</v>
      </c>
      <c r="Y30" s="67"/>
      <c r="Z30" s="67"/>
      <c r="AA30" s="66">
        <v>9</v>
      </c>
      <c r="AB30" s="67"/>
      <c r="AC30" s="67"/>
      <c r="AD30" s="184" t="str">
        <f>INDEX(BF24:BH24,$AJ$4)</f>
        <v>Body</v>
      </c>
      <c r="AE30" s="167" t="str">
        <f>INDEX(BF25:BH25,$AJ$4)</f>
        <v>Branky</v>
      </c>
      <c r="AF30" s="168"/>
      <c r="AG30" s="168"/>
      <c r="AH30" s="169" t="str">
        <f>INDEX(BF26:BH26,$AJ$4)</f>
        <v>Místo</v>
      </c>
      <c r="AJ30" s="68" t="s">
        <v>101</v>
      </c>
      <c r="AM30" s="68"/>
      <c r="AN30" s="68"/>
      <c r="AO30" s="68"/>
      <c r="AP30" s="68"/>
      <c r="AQ30" s="68"/>
      <c r="AX30" s="48"/>
      <c r="BE30" s="43"/>
      <c r="BF30" s="49" t="s">
        <v>20</v>
      </c>
      <c r="BG30" s="49" t="s">
        <v>54</v>
      </c>
      <c r="BH30" s="49" t="s">
        <v>91</v>
      </c>
      <c r="BI30" s="48"/>
    </row>
    <row r="31" spans="1:61" ht="22.05" customHeight="1">
      <c r="A31" s="144">
        <v>1</v>
      </c>
      <c r="B31" s="193" t="str">
        <f>IF(B12=0,"",B12)</f>
        <v>Sokol Zlín-Prštné 1</v>
      </c>
      <c r="C31" s="74"/>
      <c r="D31" s="75"/>
      <c r="E31" s="75"/>
      <c r="F31" s="135">
        <f>IF('Pořadí zápasů 5 Teams_Spielplan'!$L6="","",'Pořadí zápasů 5 Teams_Spielplan'!$L6)</f>
        <v>2</v>
      </c>
      <c r="G31" s="136" t="s">
        <v>7</v>
      </c>
      <c r="H31" s="137">
        <f>IF('Pořadí zápasů 5 Teams_Spielplan'!$N6="","",'Pořadí zápasů 5 Teams_Spielplan'!$N6)</f>
        <v>0</v>
      </c>
      <c r="I31" s="76">
        <f>IF('Pořadí zápasů 5 Teams_Spielplan'!$L11="","",'Pořadí zápasů 5 Teams_Spielplan'!$L11)</f>
        <v>6</v>
      </c>
      <c r="J31" s="77" t="s">
        <v>7</v>
      </c>
      <c r="K31" s="78">
        <f>IF('Pořadí zápasů 5 Teams_Spielplan'!$N11="","",'Pořadí zápasů 5 Teams_Spielplan'!$N11)</f>
        <v>0</v>
      </c>
      <c r="L31" s="76">
        <f>IF('Pořadí zápasů 5 Teams_Spielplan'!$L14="","",'Pořadí zápasů 5 Teams_Spielplan'!$L14)</f>
        <v>3</v>
      </c>
      <c r="M31" s="77" t="s">
        <v>7</v>
      </c>
      <c r="N31" s="78">
        <f>IF('Pořadí zápasů 5 Teams_Spielplan'!$N14="","",'Pořadí zápasů 5 Teams_Spielplan'!$N14)</f>
        <v>3</v>
      </c>
      <c r="O31" s="76">
        <f>IF('Pořadí zápasů 5 Teams_Spielplan'!$L8="","",'Pořadí zápasů 5 Teams_Spielplan'!$L8)</f>
        <v>6</v>
      </c>
      <c r="P31" s="77" t="s">
        <v>7</v>
      </c>
      <c r="Q31" s="121">
        <f>IF('Pořadí zápasů 5 Teams_Spielplan'!$N8="","",'Pořadí zápasů 5 Teams_Spielplan'!$N8)</f>
        <v>1</v>
      </c>
      <c r="R31" s="76"/>
      <c r="S31" s="80" t="s">
        <v>7</v>
      </c>
      <c r="T31" s="78"/>
      <c r="U31" s="79"/>
      <c r="V31" s="80" t="s">
        <v>7</v>
      </c>
      <c r="W31" s="81"/>
      <c r="X31" s="79"/>
      <c r="Y31" s="80" t="s">
        <v>7</v>
      </c>
      <c r="Z31" s="81"/>
      <c r="AA31" s="79"/>
      <c r="AB31" s="80" t="s">
        <v>7</v>
      </c>
      <c r="AC31" s="82"/>
      <c r="AD31" s="83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10</v>
      </c>
      <c r="AE31" s="148">
        <f>IF(F31="","",F31+I31+L31+O31+R31+U31+X31+AA31)</f>
        <v>17</v>
      </c>
      <c r="AF31" s="84" t="s">
        <v>7</v>
      </c>
      <c r="AG31" s="148">
        <f>IF(H31="","",H31+K31+N31+Q31+T31+W31+Z31+AC31)</f>
        <v>4</v>
      </c>
      <c r="AH31" s="146">
        <f>IF(F31="","",RANK(AD31,$AD$31:$AD$35))</f>
        <v>1</v>
      </c>
      <c r="AI31" s="150">
        <f>IF(F31="","",AE31-AG31)</f>
        <v>13</v>
      </c>
      <c r="AJ31" s="69" t="s">
        <v>158</v>
      </c>
      <c r="AM31" s="285">
        <f>AH31</f>
        <v>1</v>
      </c>
      <c r="AN31" s="270" t="str">
        <f>B12</f>
        <v>Sokol Zlín-Prštné 1</v>
      </c>
      <c r="AO31" s="270" t="str">
        <f>F12</f>
        <v>Baxa Richard</v>
      </c>
      <c r="AP31" s="291">
        <f>R12</f>
        <v>10089244226</v>
      </c>
      <c r="AQ31" s="270" t="str">
        <f>W12</f>
        <v>Struhař Kryštof</v>
      </c>
      <c r="AR31" s="270">
        <f>AG12</f>
        <v>10078013545</v>
      </c>
      <c r="AS31" s="274"/>
      <c r="AX31" s="48"/>
      <c r="BE31" s="43"/>
      <c r="BF31" s="49" t="s">
        <v>62</v>
      </c>
      <c r="BG31" s="49" t="s">
        <v>63</v>
      </c>
      <c r="BH31" s="49" t="s">
        <v>92</v>
      </c>
      <c r="BI31" s="48"/>
    </row>
    <row r="32" spans="1:61" ht="22.05" customHeight="1">
      <c r="A32" s="145">
        <v>2</v>
      </c>
      <c r="B32" s="194" t="str">
        <f>IF(B13=0,"",B13)</f>
        <v>Sokol Zlín-Prštné 2</v>
      </c>
      <c r="C32" s="85">
        <f>IF(H31="","",H31)</f>
        <v>0</v>
      </c>
      <c r="D32" s="86" t="s">
        <v>7</v>
      </c>
      <c r="E32" s="86">
        <f>IF(F31="","",F31)</f>
        <v>2</v>
      </c>
      <c r="F32" s="87"/>
      <c r="G32" s="88" t="s">
        <v>7</v>
      </c>
      <c r="H32" s="88"/>
      <c r="I32" s="92">
        <f>IF('Pořadí zápasů 5 Teams_Spielplan'!$L9="","",'Pořadí zápasů 5 Teams_Spielplan'!$L9)</f>
        <v>4</v>
      </c>
      <c r="J32" s="119" t="s">
        <v>7</v>
      </c>
      <c r="K32" s="100">
        <f>IF('Pořadí zápasů 5 Teams_Spielplan'!$N9="","",'Pořadí zápasů 5 Teams_Spielplan'!$N9)</f>
        <v>1</v>
      </c>
      <c r="L32" s="92">
        <f>IF('Pořadí zápasů 5 Teams_Spielplan'!$L12="","",'Pořadí zápasů 5 Teams_Spielplan'!$L12)</f>
        <v>1</v>
      </c>
      <c r="M32" s="119" t="s">
        <v>7</v>
      </c>
      <c r="N32" s="120">
        <f>IF('Pořadí zápasů 5 Teams_Spielplan'!$N12="","",'Pořadí zápasů 5 Teams_Spielplan'!$N12)</f>
        <v>2</v>
      </c>
      <c r="O32" s="92">
        <f>IF('Pořadí zápasů 5 Teams_Spielplan'!$L15="","",'Pořadí zápasů 5 Teams_Spielplan'!$L15)</f>
        <v>1</v>
      </c>
      <c r="P32" s="119" t="s">
        <v>7</v>
      </c>
      <c r="Q32" s="120">
        <f>IF('Pořadí zápasů 5 Teams_Spielplan'!$N15="","",'Pořadí zápasů 5 Teams_Spielplan'!$N15)</f>
        <v>2</v>
      </c>
      <c r="R32" s="89"/>
      <c r="S32" s="94" t="s">
        <v>7</v>
      </c>
      <c r="T32" s="122"/>
      <c r="U32" s="93"/>
      <c r="V32" s="94" t="s">
        <v>7</v>
      </c>
      <c r="W32" s="160"/>
      <c r="X32" s="93"/>
      <c r="Y32" s="94" t="s">
        <v>7</v>
      </c>
      <c r="Z32" s="95"/>
      <c r="AA32" s="93"/>
      <c r="AB32" s="94" t="s">
        <v>7</v>
      </c>
      <c r="AC32" s="96"/>
      <c r="AD32" s="97">
        <f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3</v>
      </c>
      <c r="AE32" s="149">
        <f>IF(C32="","",H31+I32+L32+O32+R32+U32+X32+AA32)</f>
        <v>6</v>
      </c>
      <c r="AF32" s="98" t="s">
        <v>7</v>
      </c>
      <c r="AG32" s="149">
        <f>IF(E32="","",F31+K32+N32+Q32+T32+W32+Z32+AC32)</f>
        <v>7</v>
      </c>
      <c r="AH32" s="147">
        <f>IF(C32="","",RANK(AD32,$AD$31:$AD$35))</f>
        <v>4</v>
      </c>
      <c r="AI32" s="150">
        <f>IF(C32="","",AE32-AG32)</f>
        <v>-1</v>
      </c>
      <c r="AJ32" s="173" t="s">
        <v>160</v>
      </c>
      <c r="AM32" s="285">
        <f>AH32</f>
        <v>4</v>
      </c>
      <c r="AN32" s="270" t="str">
        <f>B13</f>
        <v>Sokol Zlín-Prštné 2</v>
      </c>
      <c r="AO32" s="270" t="str">
        <f>F13</f>
        <v>Buršík Štěpán</v>
      </c>
      <c r="AP32" s="291">
        <f>R13</f>
        <v>10092750471</v>
      </c>
      <c r="AQ32" s="270" t="str">
        <f>W13</f>
        <v>Matras Dominik</v>
      </c>
      <c r="AR32" s="270">
        <f>AG13</f>
        <v>10124335085</v>
      </c>
      <c r="AS32" s="274"/>
      <c r="AX32" s="48"/>
      <c r="BE32" s="43"/>
      <c r="BF32" s="159" t="s">
        <v>142</v>
      </c>
      <c r="BG32" s="49" t="s">
        <v>47</v>
      </c>
      <c r="BH32" s="49" t="s">
        <v>83</v>
      </c>
      <c r="BI32" s="48"/>
    </row>
    <row r="33" spans="1:64" ht="22.05" customHeight="1">
      <c r="A33" s="145">
        <v>3</v>
      </c>
      <c r="B33" s="194" t="str">
        <f>IF(B14=0,"",B14)</f>
        <v>Sokol Šitbořice</v>
      </c>
      <c r="C33" s="85">
        <f>IF(K31="","",K31)</f>
        <v>0</v>
      </c>
      <c r="D33" s="86" t="s">
        <v>7</v>
      </c>
      <c r="E33" s="86">
        <f>IF(I31="","",I31)</f>
        <v>6</v>
      </c>
      <c r="F33" s="85">
        <f>IF(K32="","",K32)</f>
        <v>1</v>
      </c>
      <c r="G33" s="86" t="s">
        <v>7</v>
      </c>
      <c r="H33" s="86">
        <f>IF(I32="","",I32)</f>
        <v>4</v>
      </c>
      <c r="I33" s="99"/>
      <c r="J33" s="88" t="s">
        <v>7</v>
      </c>
      <c r="K33" s="88"/>
      <c r="L33" s="89">
        <f>IF('Pořadí zápasů 5 Teams_Spielplan'!$L7="","",'Pořadí zápasů 5 Teams_Spielplan'!$L7)</f>
        <v>0</v>
      </c>
      <c r="M33" s="90" t="s">
        <v>7</v>
      </c>
      <c r="N33" s="91">
        <f>IF('Pořadí zápasů 5 Teams_Spielplan'!$N7="","",'Pořadí zápasů 5 Teams_Spielplan'!$N7)</f>
        <v>6</v>
      </c>
      <c r="O33" s="89">
        <f>IF('Pořadí zápasů 5 Teams_Spielplan'!$L13="","",'Pořadí zápasů 5 Teams_Spielplan'!$L13)</f>
        <v>0</v>
      </c>
      <c r="P33" s="90" t="s">
        <v>7</v>
      </c>
      <c r="Q33" s="100">
        <f>IF('Pořadí zápasů 5 Teams_Spielplan'!$N13="","",'Pořadí zápasů 5 Teams_Spielplan'!$N13)</f>
        <v>4</v>
      </c>
      <c r="R33" s="92"/>
      <c r="S33" s="94" t="s">
        <v>7</v>
      </c>
      <c r="T33" s="100"/>
      <c r="U33" s="93"/>
      <c r="V33" s="94" t="s">
        <v>7</v>
      </c>
      <c r="W33" s="96"/>
      <c r="X33" s="93"/>
      <c r="Y33" s="94" t="s">
        <v>7</v>
      </c>
      <c r="Z33" s="95"/>
      <c r="AA33" s="93"/>
      <c r="AB33" s="94" t="s">
        <v>7</v>
      </c>
      <c r="AC33" s="96"/>
      <c r="AD33" s="97">
        <f>IF(C33="","",IF(AND(C33="",E33=""),0,IF(C33&gt;E33,3,IF(C33=E33,1,0)))+IF(AND(F33="",H33=""),0,IF(F33&gt;H33,3,IF(F33=H33,1,0)))+IF(AND(I33="",K33=""),0,IF(I33&gt;K33,3,IF(I33=K33,1,0)))+IF(AND(L33="",N33=""),0,IF(L33&gt;N33,3,IF(L33=N33,1,0)))+IF(AND(O33="",Q33=""),0,IF(O33&gt;Q33,3,IF(O33=Q33,1,0)))+IF(AND(R33="",T33=""),0,IF(R33&gt;T33,3,IF(R33=T33,1,0)))+IF(AND(U33="",W33=""),0,IF(U33&gt;W33,3,IF(U33=W33,1,0)))+IF(AND(X33="",Z33=""),0,IF(X33&gt;Z33,3,IF(X33=Z33,1,0)))+IF(AND(AA33="",AC33=""),0,IF(AA33&gt;AC33,3,IF(AA33=AC33,1,0))))</f>
        <v>0</v>
      </c>
      <c r="AE33" s="149">
        <f>IF(C33="","",K31+K32+L33+O33+R33+U33+X33+AA33)</f>
        <v>1</v>
      </c>
      <c r="AF33" s="98" t="s">
        <v>7</v>
      </c>
      <c r="AG33" s="149">
        <f>IF(E32="","",I31+I32+N33+Q33+T33+W33+Z33+AC33)</f>
        <v>20</v>
      </c>
      <c r="AH33" s="147">
        <f>IF(C33="","",RANK(AD33,$AD$31:$AD$35))</f>
        <v>5</v>
      </c>
      <c r="AI33" s="150">
        <f>IF(C33="","",AE33-AG33)</f>
        <v>-19</v>
      </c>
      <c r="AJ33" s="173" t="s">
        <v>161</v>
      </c>
      <c r="AM33" s="285">
        <f>AH33</f>
        <v>5</v>
      </c>
      <c r="AN33" s="270" t="str">
        <f>B14</f>
        <v>Sokol Šitbořice</v>
      </c>
      <c r="AO33" s="270" t="str">
        <f>F14</f>
        <v>Doležal Vítek</v>
      </c>
      <c r="AP33" s="291">
        <f>R14</f>
        <v>10134812200</v>
      </c>
      <c r="AQ33" s="270" t="str">
        <f>W14</f>
        <v>Šabata Matěj</v>
      </c>
      <c r="AR33" s="270">
        <f>AG14</f>
        <v>10099764177</v>
      </c>
      <c r="AS33" s="274"/>
      <c r="AX33" s="48"/>
      <c r="BE33" s="43"/>
      <c r="BF33" s="49" t="s">
        <v>65</v>
      </c>
      <c r="BG33" s="49" t="s">
        <v>66</v>
      </c>
      <c r="BH33" s="49" t="s">
        <v>93</v>
      </c>
      <c r="BI33" s="48"/>
    </row>
    <row r="34" spans="1:64" ht="22.05" customHeight="1">
      <c r="A34" s="145">
        <v>4</v>
      </c>
      <c r="B34" s="194" t="str">
        <f>IF(B15=0,"",B15)</f>
        <v>Šitbořice/Nezamyslice</v>
      </c>
      <c r="C34" s="85">
        <f>IF(N31="","",N31)</f>
        <v>3</v>
      </c>
      <c r="D34" s="86" t="s">
        <v>7</v>
      </c>
      <c r="E34" s="86">
        <f>IF(L31="","",L31)</f>
        <v>3</v>
      </c>
      <c r="F34" s="85">
        <f>IF(N32="","",N32)</f>
        <v>2</v>
      </c>
      <c r="G34" s="86" t="s">
        <v>7</v>
      </c>
      <c r="H34" s="86">
        <f>IF(L32="","",L32)</f>
        <v>1</v>
      </c>
      <c r="I34" s="85">
        <f>IF(N33="","",N33)</f>
        <v>6</v>
      </c>
      <c r="J34" s="86" t="s">
        <v>7</v>
      </c>
      <c r="K34" s="86">
        <f>IF(L33="","",L33)</f>
        <v>0</v>
      </c>
      <c r="L34" s="99"/>
      <c r="M34" s="88" t="s">
        <v>7</v>
      </c>
      <c r="N34" s="88"/>
      <c r="O34" s="92">
        <f>IF('Pořadí zápasů 5 Teams_Spielplan'!$L10="","",'Pořadí zápasů 5 Teams_Spielplan'!$L10)</f>
        <v>5</v>
      </c>
      <c r="P34" s="119" t="s">
        <v>7</v>
      </c>
      <c r="Q34" s="100">
        <f>IF('Pořadí zápasů 5 Teams_Spielplan'!$N10="","",'Pořadí zápasů 5 Teams_Spielplan'!$N10)</f>
        <v>0</v>
      </c>
      <c r="R34" s="89"/>
      <c r="S34" s="94" t="s">
        <v>7</v>
      </c>
      <c r="T34" s="100"/>
      <c r="U34" s="101"/>
      <c r="V34" s="161" t="s">
        <v>7</v>
      </c>
      <c r="W34" s="143"/>
      <c r="X34" s="93"/>
      <c r="Y34" s="94" t="s">
        <v>7</v>
      </c>
      <c r="Z34" s="96"/>
      <c r="AA34" s="93"/>
      <c r="AB34" s="94" t="s">
        <v>7</v>
      </c>
      <c r="AC34" s="96"/>
      <c r="AD34" s="97">
        <f>IF(C34="","",IF(AND(C34="",E34=""),0,IF(C34&gt;E34,3,IF(C34=E34,1,0)))+IF(AND(F34="",H34=""),0,IF(F34&gt;H34,3,IF(F34=H34,1,0)))+IF(AND(I34="",K34=""),0,IF(I34&gt;K34,3,IF(I34=K34,1,0)))+IF(AND(L34="",N34=""),0,IF(L34&gt;N34,3,IF(L34=N34,1,0)))+IF(AND(O34="",Q34=""),0,IF(O34&gt;Q34,3,IF(O34=Q34,1,0)))+IF(AND(R34="",T34=""),0,IF(R34&gt;T34,3,IF(R34=T34,1,0)))+IF(AND(U34="",W34=""),0,IF(U34&gt;W34,3,IF(U34=W34,1,0)))+IF(AND(X34="",Z34=""),0,IF(X34&gt;Z34,3,IF(X34=Z34,1,0)))+IF(AND(AA34="",AC34=""),0,IF(AA34&gt;AC34,3,IF(AA34=AC34,1,0))))</f>
        <v>10</v>
      </c>
      <c r="AE34" s="149">
        <f>IF(C34="","",N31+N32+N33+O34+R34+U34+X34+AA34)</f>
        <v>16</v>
      </c>
      <c r="AF34" s="98" t="s">
        <v>7</v>
      </c>
      <c r="AG34" s="149">
        <f>IF(E34="","",L31+L32+L33+Q34+T34+W34+Z34+AC34)</f>
        <v>4</v>
      </c>
      <c r="AH34" s="147">
        <f>IF(C34="","",RANK(AD34,$AD$31:$AD$35))+1</f>
        <v>2</v>
      </c>
      <c r="AI34" s="150">
        <f>IF(C34="","",AE34-AG34)</f>
        <v>12</v>
      </c>
      <c r="AJ34" s="124" t="s">
        <v>159</v>
      </c>
      <c r="AM34" s="285">
        <f>AH34</f>
        <v>2</v>
      </c>
      <c r="AN34" s="270" t="str">
        <f>B15</f>
        <v>Šitbořice/Nezamyslice</v>
      </c>
      <c r="AO34" s="270" t="str">
        <f>F15</f>
        <v>Nečas Vojtěch</v>
      </c>
      <c r="AP34" s="291">
        <f>R15</f>
        <v>10108151748</v>
      </c>
      <c r="AQ34" s="270" t="str">
        <f>W15</f>
        <v>Matušinec Matěj</v>
      </c>
      <c r="AR34" s="270">
        <f>AG15</f>
        <v>10123871812</v>
      </c>
      <c r="AS34" s="274"/>
      <c r="AX34" s="48"/>
      <c r="BE34" s="43"/>
      <c r="BF34" s="49" t="s">
        <v>61</v>
      </c>
      <c r="BG34" s="49" t="s">
        <v>60</v>
      </c>
      <c r="BH34" s="49" t="s">
        <v>94</v>
      </c>
      <c r="BI34" s="48"/>
    </row>
    <row r="35" spans="1:64" ht="22.05" customHeight="1">
      <c r="A35" s="145">
        <v>5</v>
      </c>
      <c r="B35" s="194" t="str">
        <f>IF(B16=0,"",B16)</f>
        <v>Lokomotiva Liberec</v>
      </c>
      <c r="C35" s="85">
        <f>IF(Q31="","",Q31)</f>
        <v>1</v>
      </c>
      <c r="D35" s="86" t="s">
        <v>7</v>
      </c>
      <c r="E35" s="86">
        <f>IF(O31="","",O31)</f>
        <v>6</v>
      </c>
      <c r="F35" s="85">
        <f>IF(Q32="","",Q32)</f>
        <v>2</v>
      </c>
      <c r="G35" s="86" t="s">
        <v>7</v>
      </c>
      <c r="H35" s="86">
        <f>IF(O32="","",O32)</f>
        <v>1</v>
      </c>
      <c r="I35" s="85">
        <f>IF(Q33="","",Q33)</f>
        <v>4</v>
      </c>
      <c r="J35" s="86" t="s">
        <v>7</v>
      </c>
      <c r="K35" s="86">
        <f>IF(O33="","",O33)</f>
        <v>0</v>
      </c>
      <c r="L35" s="85">
        <f>IF(Q34="","",Q34)</f>
        <v>0</v>
      </c>
      <c r="M35" s="86" t="s">
        <v>7</v>
      </c>
      <c r="N35" s="86">
        <f>IF(O34="","",O34)</f>
        <v>5</v>
      </c>
      <c r="O35" s="99"/>
      <c r="P35" s="88" t="s">
        <v>7</v>
      </c>
      <c r="Q35" s="88"/>
      <c r="R35" s="92"/>
      <c r="S35" s="94" t="s">
        <v>7</v>
      </c>
      <c r="T35" s="100"/>
      <c r="U35" s="101"/>
      <c r="V35" s="94" t="s">
        <v>7</v>
      </c>
      <c r="W35" s="160"/>
      <c r="X35" s="101"/>
      <c r="Y35" s="94" t="s">
        <v>7</v>
      </c>
      <c r="Z35" s="143"/>
      <c r="AA35" s="101"/>
      <c r="AB35" s="94" t="s">
        <v>7</v>
      </c>
      <c r="AC35" s="96"/>
      <c r="AD35" s="97">
        <f>IF(C35="","",IF(AND(C35="",E35=""),0,IF(C35&gt;E35,3,IF(C35=E35,1,0)))+IF(AND(F35="",H35=""),0,IF(F35&gt;H35,3,IF(F35=H35,1,0)))+IF(AND(I35="",K35=""),0,IF(I35&gt;K35,3,IF(I35=K35,1,0)))+IF(AND(L35="",N35=""),0,IF(L35&gt;N35,3,IF(L35=N35,1,0)))+IF(AND(O35="",Q35=""),0,IF(O35&gt;Q35,3,IF(O35=Q35,1,0)))+IF(AND(R35="",T35=""),0,IF(R35&gt;T35,3,IF(R35=T35,1,0)))+IF(AND(U35="",W35=""),0,IF(U35&gt;W35,3,IF(U35=W35,1,0)))+IF(AND(X35="",Z35=""),0,IF(X35&gt;Z35,3,IF(X35=Z35,1,0)))+IF(AND(AA35="",AC35=""),0,IF(AA35&gt;AC35,3,IF(AA35=AC35,1,0))))</f>
        <v>6</v>
      </c>
      <c r="AE35" s="149">
        <f>IF(C35="","",Q31+Q32+Q33+Q34)</f>
        <v>7</v>
      </c>
      <c r="AF35" s="98" t="s">
        <v>7</v>
      </c>
      <c r="AG35" s="149">
        <f>IF(E35="","",O31+O32+O33+O34+T35+W35+Z35+AC35)</f>
        <v>12</v>
      </c>
      <c r="AH35" s="147">
        <f>IF(C35="","",RANK(AD35,$AD$31:$AD$35))</f>
        <v>3</v>
      </c>
      <c r="AI35" s="150">
        <f>IF(C35="","",AE35-AG35)</f>
        <v>-5</v>
      </c>
      <c r="AJ35" s="178" t="s">
        <v>152</v>
      </c>
      <c r="AM35" s="285">
        <f>AH35</f>
        <v>3</v>
      </c>
      <c r="AN35" s="270" t="str">
        <f>B16</f>
        <v>Lokomotiva Liberec</v>
      </c>
      <c r="AO35" s="270" t="str">
        <f>F16</f>
        <v>Pomališ Hynek</v>
      </c>
      <c r="AP35" s="291">
        <f>R16</f>
        <v>10106104846</v>
      </c>
      <c r="AQ35" s="270" t="str">
        <f>W16</f>
        <v>Šidlof Pavel</v>
      </c>
      <c r="AR35" s="270">
        <f>AG16</f>
        <v>10111259182</v>
      </c>
      <c r="AS35" s="274"/>
      <c r="AX35" s="48"/>
      <c r="BE35" s="43"/>
      <c r="BF35" s="49" t="s">
        <v>140</v>
      </c>
      <c r="BG35" s="49" t="s">
        <v>57</v>
      </c>
      <c r="BH35" s="49" t="s">
        <v>95</v>
      </c>
      <c r="BI35" s="48"/>
    </row>
    <row r="36" spans="1:64" s="22" customFormat="1" ht="22.05" customHeigh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 s="150"/>
      <c r="AJ36" s="178" t="s">
        <v>128</v>
      </c>
      <c r="AK36"/>
      <c r="AL36"/>
      <c r="AM36"/>
      <c r="AN36"/>
      <c r="AO36" s="69"/>
      <c r="AP36" s="70"/>
      <c r="AQ36" s="70"/>
      <c r="AR36" s="70"/>
      <c r="AX36" s="62"/>
      <c r="BE36" s="52"/>
      <c r="BF36" s="49" t="s">
        <v>72</v>
      </c>
      <c r="BG36" s="49" t="s">
        <v>58</v>
      </c>
      <c r="BH36" s="49" t="s">
        <v>96</v>
      </c>
      <c r="BI36" s="62"/>
    </row>
    <row r="37" spans="1:64" s="22" customFormat="1" ht="22.05" customHeight="1">
      <c r="X37" s="24"/>
      <c r="Y37" s="64"/>
      <c r="Z37" s="64"/>
      <c r="AA37" s="64"/>
      <c r="AB37" s="64"/>
      <c r="AC37" s="65" t="str">
        <f>INDEX(BF28:BH28,$AJ$4)</f>
        <v>Kontrola:</v>
      </c>
      <c r="AD37" s="181">
        <f>IF(AE31="","",SUM(AD31:AD35))</f>
        <v>29</v>
      </c>
      <c r="AE37" s="151">
        <f>IF(AE31="","",SUM(AE31:AE35))</f>
        <v>47</v>
      </c>
      <c r="AF37" s="182" t="s">
        <v>7</v>
      </c>
      <c r="AG37" s="183">
        <f>IF(AG31="","",SUM(AG31:AG35))</f>
        <v>47</v>
      </c>
      <c r="AH37" s="180"/>
      <c r="AI37" s="181">
        <f>IF(AI31="","",SUM(AI31:AI35))</f>
        <v>0</v>
      </c>
      <c r="AJ37" s="179" t="s">
        <v>165</v>
      </c>
      <c r="AK37"/>
      <c r="AL37"/>
      <c r="AM37"/>
      <c r="AN37"/>
      <c r="AO37" s="69"/>
      <c r="AP37" s="70"/>
      <c r="AQ37" s="70"/>
      <c r="AR37" s="23"/>
      <c r="AX37" s="62"/>
      <c r="BE37" s="52"/>
      <c r="BF37" s="49" t="s">
        <v>73</v>
      </c>
      <c r="BG37" s="49" t="s">
        <v>59</v>
      </c>
      <c r="BH37" s="49" t="s">
        <v>97</v>
      </c>
      <c r="BI37" s="62"/>
    </row>
    <row r="38" spans="1:64" ht="9.75" customHeight="1" thickBot="1">
      <c r="AI38" s="180"/>
      <c r="AX38" s="48"/>
      <c r="BE38" s="43"/>
      <c r="BF38" s="49" t="s">
        <v>56</v>
      </c>
      <c r="BG38" s="49" t="s">
        <v>55</v>
      </c>
      <c r="BH38" s="49" t="s">
        <v>55</v>
      </c>
      <c r="BI38" s="48"/>
    </row>
    <row r="39" spans="1:64" ht="24.75" customHeight="1" thickBot="1">
      <c r="A39" s="339" t="str">
        <f>INDEX(BF39:BH39,$AJ$4)</f>
        <v>Utkání o umístění a finále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  <c r="S39" s="340"/>
      <c r="T39" s="340"/>
      <c r="U39" s="340"/>
      <c r="V39" s="340"/>
      <c r="W39" s="340"/>
      <c r="X39" s="341"/>
      <c r="AE39"/>
      <c r="AG39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43"/>
      <c r="BF39" s="49" t="s">
        <v>206</v>
      </c>
      <c r="BG39" s="49" t="s">
        <v>207</v>
      </c>
      <c r="BH39" s="49" t="s">
        <v>208</v>
      </c>
      <c r="BI39" s="48"/>
      <c r="BJ39" s="274"/>
      <c r="BK39" s="274"/>
    </row>
    <row r="40" spans="1:64" ht="9.75" customHeight="1">
      <c r="AI40" s="180"/>
      <c r="AX40" s="48"/>
      <c r="BE40" s="43"/>
      <c r="BF40" s="49"/>
      <c r="BG40" s="49"/>
      <c r="BH40" s="49"/>
      <c r="BI40" s="48"/>
    </row>
    <row r="41" spans="1:64" ht="20.100000000000001" customHeight="1">
      <c r="A41" s="368" t="s">
        <v>194</v>
      </c>
      <c r="B41" s="245" t="str">
        <f>INDEX(BF41:BH41,$AJ$4)</f>
        <v>Utkání o 3. a 4. místo</v>
      </c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7" t="str">
        <f>INDEX(BF16:BH16,$AJ$4)</f>
        <v>Rozhodčí</v>
      </c>
      <c r="O41" s="246"/>
      <c r="P41" s="246"/>
      <c r="Q41" s="246"/>
      <c r="R41" s="246"/>
      <c r="S41" s="376" t="str">
        <f>INDEX(BF25:BH25,$AJ$4)</f>
        <v>Branky</v>
      </c>
      <c r="T41" s="377"/>
      <c r="U41" s="377"/>
      <c r="V41" s="377"/>
      <c r="W41" s="377"/>
      <c r="X41" s="377"/>
      <c r="Y41" s="377"/>
      <c r="Z41" s="378"/>
      <c r="AA41" s="379" t="str">
        <f>INDEX(BF19:BH19,$AJ$4)</f>
        <v>Poločas</v>
      </c>
      <c r="AB41" s="380"/>
      <c r="AC41" s="380"/>
      <c r="AD41" s="381"/>
      <c r="AE41" s="342" t="str">
        <f>INDEX(BF20:BH20,$AJ$4)</f>
        <v>Výsledek</v>
      </c>
      <c r="AF41" s="343"/>
      <c r="AG41" s="344"/>
      <c r="AK41" s="50"/>
      <c r="BA41" t="s">
        <v>5</v>
      </c>
      <c r="BD41" t="s">
        <v>202</v>
      </c>
      <c r="BE41" s="43"/>
      <c r="BF41" s="220" t="s">
        <v>184</v>
      </c>
      <c r="BG41" s="220" t="s">
        <v>185</v>
      </c>
      <c r="BH41" s="220" t="s">
        <v>186</v>
      </c>
      <c r="BI41" s="220"/>
    </row>
    <row r="42" spans="1:64" s="4" customFormat="1" ht="19.05" customHeight="1">
      <c r="A42" s="369"/>
      <c r="B42" s="321" t="str">
        <f>IF($AM$31="","",VLOOKUP(3,$AM$31:$AR$35,2,0))</f>
        <v>Lokomotiva Liberec</v>
      </c>
      <c r="C42" s="248" t="s">
        <v>7</v>
      </c>
      <c r="D42" s="370" t="str">
        <f>IF($AM$31="","",VLOOKUP(4,$AM$31:$AR$35,2,0))</f>
        <v>Sokol Zlín-Prštné 2</v>
      </c>
      <c r="E42" s="371"/>
      <c r="F42" s="371"/>
      <c r="G42" s="371"/>
      <c r="H42" s="371"/>
      <c r="I42" s="371"/>
      <c r="J42" s="371"/>
      <c r="K42" s="371"/>
      <c r="L42" s="371"/>
      <c r="M42" s="372"/>
      <c r="N42" s="249"/>
      <c r="P42" s="250"/>
      <c r="Q42" s="250"/>
      <c r="R42" s="250"/>
      <c r="S42" s="373"/>
      <c r="T42" s="374"/>
      <c r="U42" s="374"/>
      <c r="V42" s="375"/>
      <c r="W42" s="384"/>
      <c r="X42" s="385"/>
      <c r="Y42" s="385"/>
      <c r="Z42" s="386"/>
      <c r="AA42" s="382">
        <f>IF('Pořadí zápasů 5 Teams_Spielplan'!I18="","",'Pořadí zápasů 5 Teams_Spielplan'!I18)</f>
        <v>1</v>
      </c>
      <c r="AB42" s="383"/>
      <c r="AC42" s="251" t="s">
        <v>7</v>
      </c>
      <c r="AD42" s="252">
        <f>IF('Pořadí zápasů 5 Teams_Spielplan'!K18="","",'Pořadí zápasů 5 Teams_Spielplan'!K18)</f>
        <v>1</v>
      </c>
      <c r="AE42" s="253">
        <f>IF('Pořadí zápasů 5 Teams_Spielplan'!L18="","",'Pořadí zápasů 5 Teams_Spielplan'!L18)</f>
        <v>1</v>
      </c>
      <c r="AF42" s="254" t="s">
        <v>7</v>
      </c>
      <c r="AG42" s="255">
        <f>IF('Pořadí zápasů 5 Teams_Spielplan'!N18="","",'Pořadí zápasů 5 Teams_Spielplan'!N18)</f>
        <v>4</v>
      </c>
      <c r="AH42" s="271"/>
      <c r="AI42" s="272"/>
      <c r="AJ42" s="273" t="s">
        <v>200</v>
      </c>
      <c r="AL42" s="274"/>
      <c r="AM42" s="218">
        <f>BD42</f>
        <v>2</v>
      </c>
      <c r="AN42" s="218" t="str">
        <f>B42</f>
        <v>Lokomotiva Liberec</v>
      </c>
      <c r="AO42" s="218" t="str">
        <f>IF($AM$31="","",VLOOKUP(3,$AM$31:$AR$35,3,0))</f>
        <v>Pomališ Hynek</v>
      </c>
      <c r="AP42" s="218">
        <f>IF($AM$31="","",VLOOKUP(3,$AM$31:$AR$35,4,0))</f>
        <v>10106104846</v>
      </c>
      <c r="AQ42" s="218" t="str">
        <f>IF($AM$31="","",VLOOKUP(3,$AM$31:$AR$35,5,0))</f>
        <v>Šidlof Pavel</v>
      </c>
      <c r="AR42" s="218">
        <f>IF($AM$31="","",VLOOKUP(3,$AM$31:$AR$35,6,0))</f>
        <v>10111259182</v>
      </c>
      <c r="AS42" s="286">
        <f>BD42</f>
        <v>2</v>
      </c>
      <c r="AT42" s="275" t="str">
        <f>B42</f>
        <v>Lokomotiva Liberec</v>
      </c>
      <c r="AU42" s="276">
        <f>AE42</f>
        <v>1</v>
      </c>
      <c r="AV42" s="277" t="s">
        <v>7</v>
      </c>
      <c r="AW42" s="276">
        <f>AG42</f>
        <v>4</v>
      </c>
      <c r="AX42" s="278" t="str">
        <f>AE43</f>
        <v/>
      </c>
      <c r="AY42" s="277" t="s">
        <v>7</v>
      </c>
      <c r="AZ42" s="278" t="str">
        <f>AG43</f>
        <v/>
      </c>
      <c r="BA42" s="279">
        <f>IF(AU42&gt;AW42,3,0)</f>
        <v>0</v>
      </c>
      <c r="BB42" s="280">
        <f>IF(AX42&gt;AZ42,3,0)</f>
        <v>0</v>
      </c>
      <c r="BC42" s="281">
        <f>BA42+BB42</f>
        <v>0</v>
      </c>
      <c r="BD42" s="282">
        <f>IF(AT42="","",RANK(BC42,$BC$42:$BC$43))</f>
        <v>2</v>
      </c>
      <c r="BE42" s="43"/>
      <c r="BF42" s="242" t="s">
        <v>196</v>
      </c>
      <c r="BG42" s="220" t="s">
        <v>197</v>
      </c>
      <c r="BH42" s="220" t="s">
        <v>198</v>
      </c>
      <c r="BI42" s="220"/>
      <c r="BK42" s="283"/>
      <c r="BL42" s="283"/>
    </row>
    <row r="43" spans="1:64" s="4" customFormat="1" ht="19.05" customHeight="1">
      <c r="A43" s="256"/>
      <c r="B43" s="257"/>
      <c r="C43" s="258"/>
      <c r="D43" s="258"/>
      <c r="E43" s="259"/>
      <c r="F43" s="260"/>
      <c r="G43" s="258"/>
      <c r="H43" s="258"/>
      <c r="I43" s="261"/>
      <c r="J43" s="261"/>
      <c r="K43" s="261"/>
      <c r="L43" s="261"/>
      <c r="M43" s="261"/>
      <c r="N43" s="262" t="str">
        <f>INDEX(BF42:BH42,$AJ$4)</f>
        <v>4M údery a konečný výsledek</v>
      </c>
      <c r="O43" s="263"/>
      <c r="P43" s="263"/>
      <c r="Q43" s="263"/>
      <c r="R43" s="264"/>
      <c r="S43" s="264"/>
      <c r="T43" s="264"/>
      <c r="U43" s="265"/>
      <c r="V43" s="266"/>
      <c r="W43" s="267"/>
      <c r="X43" s="268"/>
      <c r="Y43" s="268"/>
      <c r="Z43" s="269"/>
      <c r="AA43" s="382" t="str">
        <f>IF('Pořadí zápasů 5 Teams_Spielplan'!I19="","",'Pořadí zápasů 5 Teams_Spielplan'!I19)</f>
        <v/>
      </c>
      <c r="AB43" s="383"/>
      <c r="AC43" s="251" t="s">
        <v>7</v>
      </c>
      <c r="AD43" s="252" t="str">
        <f>IF('Pořadí zápasů 5 Teams_Spielplan'!K19="","",'Pořadí zápasů 5 Teams_Spielplan'!K19)</f>
        <v/>
      </c>
      <c r="AE43" s="329" t="str">
        <f>IF('Pořadí zápasů 5 Teams_Spielplan'!L19="","",'Pořadí zápasů 5 Teams_Spielplan'!L19)</f>
        <v/>
      </c>
      <c r="AF43" s="330" t="s">
        <v>7</v>
      </c>
      <c r="AG43" s="331" t="str">
        <f>IF('Pořadí zápasů 5 Teams_Spielplan'!N19="","",'Pořadí zápasů 5 Teams_Spielplan'!N19)</f>
        <v/>
      </c>
      <c r="AH43" s="271"/>
      <c r="AI43" s="272"/>
      <c r="AJ43" s="284" t="s">
        <v>201</v>
      </c>
      <c r="AL43" s="274"/>
      <c r="AM43" s="218">
        <f>BD43</f>
        <v>1</v>
      </c>
      <c r="AN43" s="218" t="str">
        <f>D42</f>
        <v>Sokol Zlín-Prštné 2</v>
      </c>
      <c r="AO43" s="218" t="str">
        <f>IF($AM$31="","",VLOOKUP(4,$AM$31:$AR$35,3,0))</f>
        <v>Buršík Štěpán</v>
      </c>
      <c r="AP43" s="218">
        <f>IF($AM$31="","",VLOOKUP(4,$AM$31:$AR$35,4,0))</f>
        <v>10092750471</v>
      </c>
      <c r="AQ43" s="218" t="str">
        <f>IF($AM$31="","",VLOOKUP(4,$AM$31:$AR$35,5,0))</f>
        <v>Matras Dominik</v>
      </c>
      <c r="AR43" s="218">
        <f>IF($AM$31="","",VLOOKUP(4,$AM$31:$AR$35,6,0))</f>
        <v>10124335085</v>
      </c>
      <c r="AS43" s="286">
        <f>BD43</f>
        <v>1</v>
      </c>
      <c r="AT43" s="275" t="str">
        <f>D42</f>
        <v>Sokol Zlín-Prštné 2</v>
      </c>
      <c r="AU43" s="276">
        <f>AG42</f>
        <v>4</v>
      </c>
      <c r="AV43" s="277" t="s">
        <v>7</v>
      </c>
      <c r="AW43" s="276">
        <f>AE42</f>
        <v>1</v>
      </c>
      <c r="AX43" s="278" t="str">
        <f>AZ42</f>
        <v/>
      </c>
      <c r="AY43" s="277" t="s">
        <v>7</v>
      </c>
      <c r="AZ43" s="278" t="str">
        <f>AX42</f>
        <v/>
      </c>
      <c r="BA43" s="279">
        <f>IF(AU43&gt;AW43,3,0)</f>
        <v>3</v>
      </c>
      <c r="BB43" s="280">
        <f>IF(AX43&gt;AZ43,3,0)</f>
        <v>0</v>
      </c>
      <c r="BC43" s="281">
        <f>BA43+BB43</f>
        <v>3</v>
      </c>
      <c r="BD43" s="282">
        <f>IF(AT43="","",RANK(BC43,$BC$42:$BC$43))</f>
        <v>1</v>
      </c>
      <c r="BF43" s="242" t="s">
        <v>240</v>
      </c>
      <c r="BG43" s="220" t="s">
        <v>197</v>
      </c>
      <c r="BH43" s="220" t="s">
        <v>198</v>
      </c>
      <c r="BI43" s="220"/>
      <c r="BJ43"/>
      <c r="BK43" s="283"/>
      <c r="BL43" s="283"/>
    </row>
    <row r="44" spans="1:64" ht="10.95" customHeight="1">
      <c r="K44" s="20"/>
      <c r="AK44" s="50"/>
      <c r="AX44" s="48"/>
      <c r="BE44" s="43"/>
      <c r="BI44" s="270"/>
    </row>
    <row r="45" spans="1:64" ht="20.100000000000001" customHeight="1">
      <c r="A45" s="368" t="s">
        <v>195</v>
      </c>
      <c r="B45" s="245" t="str">
        <f>INDEX(BF45:BH45,$AJ$4)</f>
        <v>Utkání o 1. a 2. místo</v>
      </c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7" t="str">
        <f>INDEX(BF16:BH16,$AJ$4)</f>
        <v>Rozhodčí</v>
      </c>
      <c r="O45" s="246"/>
      <c r="P45" s="246"/>
      <c r="Q45" s="246"/>
      <c r="R45" s="246"/>
      <c r="S45" s="376" t="str">
        <f>INDEX(BF25:BH25,$AJ$4)</f>
        <v>Branky</v>
      </c>
      <c r="T45" s="387"/>
      <c r="U45" s="387"/>
      <c r="V45" s="387"/>
      <c r="W45" s="387"/>
      <c r="X45" s="387"/>
      <c r="Y45" s="387"/>
      <c r="Z45" s="388"/>
      <c r="AA45" s="379" t="str">
        <f>INDEX(BF19:BH19,$AJ$4)</f>
        <v>Poločas</v>
      </c>
      <c r="AB45" s="380"/>
      <c r="AC45" s="380"/>
      <c r="AD45" s="389"/>
      <c r="AE45" s="342" t="str">
        <f>INDEX(BF20:BH20,$AJ$4)</f>
        <v>Výsledek</v>
      </c>
      <c r="AF45" s="343"/>
      <c r="AG45" s="344"/>
      <c r="AK45" s="50"/>
      <c r="BA45" t="s">
        <v>5</v>
      </c>
      <c r="BD45" t="s">
        <v>202</v>
      </c>
      <c r="BE45" s="43"/>
      <c r="BF45" s="220" t="s">
        <v>190</v>
      </c>
      <c r="BG45" s="220" t="s">
        <v>199</v>
      </c>
      <c r="BH45" s="220" t="s">
        <v>191</v>
      </c>
      <c r="BI45" s="220"/>
    </row>
    <row r="46" spans="1:64" s="4" customFormat="1" ht="19.05" customHeight="1">
      <c r="A46" s="369"/>
      <c r="B46" s="321" t="str">
        <f>IF($AM$31="","",VLOOKUP(1,$AM$31:$AR$35,2,0))</f>
        <v>Sokol Zlín-Prštné 1</v>
      </c>
      <c r="C46" s="248" t="s">
        <v>7</v>
      </c>
      <c r="D46" s="370" t="str">
        <f>IF($AM$31="","",VLOOKUP(2,$AM$31:$AR$35,2,0))</f>
        <v>Šitbořice/Nezamyslice</v>
      </c>
      <c r="E46" s="371"/>
      <c r="F46" s="371"/>
      <c r="G46" s="371"/>
      <c r="H46" s="371"/>
      <c r="I46" s="371"/>
      <c r="J46" s="371"/>
      <c r="K46" s="371"/>
      <c r="L46" s="371"/>
      <c r="M46" s="372"/>
      <c r="N46" s="249"/>
      <c r="P46" s="250"/>
      <c r="Q46" s="250"/>
      <c r="R46" s="250"/>
      <c r="S46" s="373"/>
      <c r="T46" s="374"/>
      <c r="U46" s="374"/>
      <c r="V46" s="375"/>
      <c r="W46" s="384"/>
      <c r="X46" s="385"/>
      <c r="Y46" s="385"/>
      <c r="Z46" s="386"/>
      <c r="AA46" s="382">
        <f>IF('Pořadí zápasů 5 Teams_Spielplan'!I21="","",'Pořadí zápasů 5 Teams_Spielplan'!I21)</f>
        <v>1</v>
      </c>
      <c r="AB46" s="383"/>
      <c r="AC46" s="251" t="s">
        <v>7</v>
      </c>
      <c r="AD46" s="252">
        <f>IF('Pořadí zápasů 5 Teams_Spielplan'!K21="","",'Pořadí zápasů 5 Teams_Spielplan'!K21)</f>
        <v>1</v>
      </c>
      <c r="AE46" s="253">
        <v>3</v>
      </c>
      <c r="AF46" s="254" t="s">
        <v>7</v>
      </c>
      <c r="AG46" s="255">
        <f>IF('Pořadí zápasů 5 Teams_Spielplan'!N21="","",'Pořadí zápasů 5 Teams_Spielplan'!N21)</f>
        <v>2</v>
      </c>
      <c r="AH46" s="271"/>
      <c r="AI46" s="272"/>
      <c r="AJ46" s="273" t="s">
        <v>200</v>
      </c>
      <c r="AL46" s="274"/>
      <c r="AM46" s="218">
        <f>BD46</f>
        <v>1</v>
      </c>
      <c r="AN46" s="218" t="str">
        <f>B46</f>
        <v>Sokol Zlín-Prštné 1</v>
      </c>
      <c r="AO46" s="218" t="str">
        <f>IF($AM$31="","",VLOOKUP(1,$AM$31:$AR$35,3,0))</f>
        <v>Baxa Richard</v>
      </c>
      <c r="AP46" s="218">
        <f>IF($AM$31="","",VLOOKUP(1,$AM$31:$AR$35,4,0))</f>
        <v>10089244226</v>
      </c>
      <c r="AQ46" s="218" t="str">
        <f>IF($AM$31="","",VLOOKUP(1,$AM$31:$AR$35,5,0))</f>
        <v>Struhař Kryštof</v>
      </c>
      <c r="AR46" s="218">
        <f>IF($AM$31="","",VLOOKUP(1,$AM$31:$AR$35,6,0))</f>
        <v>10078013545</v>
      </c>
      <c r="AS46" s="286">
        <f>BD46</f>
        <v>1</v>
      </c>
      <c r="AT46" s="275" t="str">
        <f>B46</f>
        <v>Sokol Zlín-Prštné 1</v>
      </c>
      <c r="AU46" s="276">
        <f>AE46</f>
        <v>3</v>
      </c>
      <c r="AV46" s="277" t="s">
        <v>7</v>
      </c>
      <c r="AW46" s="276">
        <f>AG46</f>
        <v>2</v>
      </c>
      <c r="AX46" s="278" t="str">
        <f>AE47</f>
        <v/>
      </c>
      <c r="AY46" s="277" t="s">
        <v>7</v>
      </c>
      <c r="AZ46" s="278" t="str">
        <f>AG47</f>
        <v/>
      </c>
      <c r="BA46" s="279">
        <f>IF(AU46&gt;AW46,3,0)</f>
        <v>3</v>
      </c>
      <c r="BB46" s="280">
        <f>IF(AX46&gt;AZ46,3,0)</f>
        <v>0</v>
      </c>
      <c r="BC46" s="281">
        <f>BA46+BB46</f>
        <v>3</v>
      </c>
      <c r="BD46" s="282">
        <f>IF(AT46="","",RANK(BC46,$BC$46:$BC$47))</f>
        <v>1</v>
      </c>
      <c r="BF46" s="43"/>
      <c r="BG46" s="270"/>
      <c r="BH46" s="220"/>
      <c r="BI46" s="220"/>
      <c r="BK46" s="283"/>
      <c r="BL46" s="283"/>
    </row>
    <row r="47" spans="1:64" s="4" customFormat="1" ht="19.05" customHeight="1">
      <c r="A47" s="256"/>
      <c r="B47" s="257"/>
      <c r="C47" s="258"/>
      <c r="D47" s="258"/>
      <c r="E47" s="262" t="str">
        <f>INDEX(BF43:BH43,$AJ$4)</f>
        <v>Rozhodující utkání + 4M údery a konečný výsledek</v>
      </c>
      <c r="F47" s="327"/>
      <c r="G47" s="267"/>
      <c r="H47" s="164"/>
      <c r="I47" s="164"/>
      <c r="J47" s="263"/>
      <c r="K47" s="263"/>
      <c r="L47" s="263"/>
      <c r="M47" s="264"/>
      <c r="N47" s="264"/>
      <c r="O47" s="264"/>
      <c r="P47" s="265"/>
      <c r="Q47" s="266"/>
      <c r="R47" s="267"/>
      <c r="S47" s="268"/>
      <c r="T47" s="164"/>
      <c r="U47" s="164"/>
      <c r="V47" s="164"/>
      <c r="W47" s="164"/>
      <c r="X47" s="164"/>
      <c r="Y47" s="268"/>
      <c r="Z47" s="328"/>
      <c r="AA47" s="382" t="str">
        <f>IF('Pořadí zápasů 5 Teams_Spielplan'!I22="","",'Pořadí zápasů 5 Teams_Spielplan'!I22)</f>
        <v/>
      </c>
      <c r="AB47" s="383"/>
      <c r="AC47" s="251" t="s">
        <v>7</v>
      </c>
      <c r="AD47" s="252" t="str">
        <f>IF('Pořadí zápasů 5 Teams_Spielplan'!K22="","",'Pořadí zápasů 5 Teams_Spielplan'!K22)</f>
        <v/>
      </c>
      <c r="AE47" s="329" t="str">
        <f>IF('Pořadí zápasů 5 Teams_Spielplan'!L22="","",'Pořadí zápasů 5 Teams_Spielplan'!L22)</f>
        <v/>
      </c>
      <c r="AF47" s="330" t="s">
        <v>7</v>
      </c>
      <c r="AG47" s="331" t="str">
        <f>IF('Pořadí zápasů 5 Teams_Spielplan'!N22="","",'Pořadí zápasů 5 Teams_Spielplan'!N22)</f>
        <v/>
      </c>
      <c r="AH47" s="271"/>
      <c r="AI47" s="272"/>
      <c r="AJ47" s="284" t="s">
        <v>201</v>
      </c>
      <c r="AL47" s="274"/>
      <c r="AM47" s="218">
        <f>BD47</f>
        <v>2</v>
      </c>
      <c r="AN47" s="218" t="str">
        <f>D46</f>
        <v>Šitbořice/Nezamyslice</v>
      </c>
      <c r="AO47" s="218" t="str">
        <f>IF($AM$31="","",VLOOKUP(2,$AM$31:$AR$35,3,0))</f>
        <v>Nečas Vojtěch</v>
      </c>
      <c r="AP47" s="218">
        <f>IF($AM$31="","",VLOOKUP(2,$AM$31:$AR$35,4,0))</f>
        <v>10108151748</v>
      </c>
      <c r="AQ47" s="218" t="str">
        <f>IF($AM$31="","",VLOOKUP(2,$AM$31:$AR$35,5,0))</f>
        <v>Matušinec Matěj</v>
      </c>
      <c r="AR47" s="218">
        <f>IF($AM$31="","",VLOOKUP(2,$AM$31:$AR$35,6,0))</f>
        <v>10123871812</v>
      </c>
      <c r="AS47" s="286">
        <f>BD47</f>
        <v>2</v>
      </c>
      <c r="AT47" s="275" t="str">
        <f>D46</f>
        <v>Šitbořice/Nezamyslice</v>
      </c>
      <c r="AU47" s="276">
        <f>AG46</f>
        <v>2</v>
      </c>
      <c r="AV47" s="277" t="s">
        <v>7</v>
      </c>
      <c r="AW47" s="276">
        <f>AE46</f>
        <v>3</v>
      </c>
      <c r="AX47" s="278" t="str">
        <f>AZ46</f>
        <v/>
      </c>
      <c r="AY47" s="277" t="s">
        <v>7</v>
      </c>
      <c r="AZ47" s="278" t="str">
        <f>AX46</f>
        <v/>
      </c>
      <c r="BA47" s="279">
        <f>IF(AU47&gt;AW47,3,0)</f>
        <v>0</v>
      </c>
      <c r="BB47" s="280">
        <f>IF(AX47&gt;AZ47,3,0)</f>
        <v>0</v>
      </c>
      <c r="BC47" s="281">
        <f>BA47+BB47</f>
        <v>0</v>
      </c>
      <c r="BD47" s="282">
        <f>IF(AT47="","",RANK(BC47,$BC$46:$BC$47))</f>
        <v>2</v>
      </c>
      <c r="BF47" s="43"/>
      <c r="BG47" s="242"/>
      <c r="BH47" s="220"/>
      <c r="BI47" s="220"/>
      <c r="BJ47"/>
      <c r="BK47" s="283"/>
      <c r="BL47" s="283"/>
    </row>
    <row r="48" spans="1:64" ht="20.100000000000001" customHeight="1" thickBot="1">
      <c r="K48" s="20"/>
      <c r="AK48" s="50"/>
      <c r="AW48" s="48"/>
      <c r="AX48" s="48"/>
    </row>
    <row r="49" spans="1:50" ht="20.100000000000001" customHeight="1" thickBot="1">
      <c r="A49" s="336" t="str">
        <f>INDEX(BF27:BH27,$AJ$4)</f>
        <v>Různé</v>
      </c>
      <c r="B49" s="337"/>
      <c r="C49" s="337"/>
      <c r="D49" s="337"/>
      <c r="E49" s="337"/>
      <c r="F49" s="337"/>
      <c r="G49" s="337"/>
      <c r="H49" s="338"/>
      <c r="I49" s="102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W49" s="48"/>
      <c r="AX49" s="48"/>
    </row>
    <row r="50" spans="1:50" ht="20.100000000000001" customHeight="1">
      <c r="A50" s="195"/>
      <c r="B50" s="322" t="s">
        <v>238</v>
      </c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W50" s="48"/>
      <c r="AX50" s="48"/>
    </row>
    <row r="51" spans="1:50" ht="20.100000000000001" customHeight="1">
      <c r="A51" s="197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T51" s="48"/>
      <c r="AU51" s="48"/>
      <c r="AV51" s="48"/>
      <c r="AW51" s="48"/>
      <c r="AX51" s="48"/>
    </row>
    <row r="52" spans="1:50" ht="20.100000000000001" customHeight="1">
      <c r="A52" s="197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T52" s="48"/>
      <c r="AU52" s="48"/>
      <c r="AV52" s="48"/>
      <c r="AW52" s="48"/>
      <c r="AX52" s="48"/>
    </row>
    <row r="53" spans="1:50" ht="20.100000000000001" customHeight="1">
      <c r="A53" s="197"/>
      <c r="B53" s="199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T53" s="48"/>
      <c r="AU53" s="48"/>
      <c r="AV53" s="48"/>
      <c r="AW53" s="48"/>
      <c r="AX53" s="48"/>
    </row>
    <row r="54" spans="1:50" ht="20.100000000000001" customHeight="1">
      <c r="A54" s="197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T54" s="48"/>
      <c r="AU54" s="48"/>
      <c r="AV54" s="48"/>
      <c r="AW54" s="48"/>
      <c r="AX54" s="48"/>
    </row>
    <row r="55" spans="1:50" ht="20.100000000000001" customHeight="1">
      <c r="A55" s="197"/>
      <c r="B55" s="323" t="s">
        <v>239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</row>
    <row r="56" spans="1:50" ht="13.8">
      <c r="B56" s="10" t="str">
        <f>INDEX(BF29:BH29,$AJ$4)</f>
        <v>Za pořadatele:</v>
      </c>
      <c r="C56" s="4"/>
      <c r="D56" s="4"/>
      <c r="E56" s="4"/>
      <c r="F56" s="4"/>
      <c r="G56" s="4"/>
      <c r="I56" s="4"/>
      <c r="J56" s="4"/>
      <c r="K56" s="4"/>
      <c r="L56" s="4"/>
      <c r="M56" s="4"/>
      <c r="N56" s="4"/>
      <c r="Q56" s="10" t="str">
        <f>INDEX(BF22:BH22,$AJ$4)</f>
        <v>Rozhodčí:</v>
      </c>
    </row>
    <row r="60" spans="1:50" ht="13.8" thickBot="1">
      <c r="AL60" s="70"/>
    </row>
    <row r="61" spans="1:50" ht="24" customHeight="1" thickBot="1">
      <c r="A61" s="336" t="str">
        <f>INDEX(BF30:BH30,$AJ$4)</f>
        <v>Konečné pořadí</v>
      </c>
      <c r="B61" s="362"/>
      <c r="C61" s="362"/>
      <c r="D61" s="362"/>
      <c r="E61" s="362"/>
      <c r="F61" s="362"/>
      <c r="G61" s="362"/>
      <c r="H61" s="363"/>
      <c r="AE61"/>
      <c r="AG61"/>
    </row>
    <row r="62" spans="1:50" ht="10.5" customHeight="1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AE62"/>
      <c r="AG62"/>
    </row>
    <row r="63" spans="1:50" ht="14.25" customHeight="1">
      <c r="A63" s="41" t="str">
        <f>INDEX(BF31:BH31,$AJ$4)</f>
        <v>Poř</v>
      </c>
      <c r="B63" s="142" t="str">
        <f>INDEX(BF32:BH32,$AJ$4)</f>
        <v>Těl. spolek - klub</v>
      </c>
      <c r="C63" s="365" t="str">
        <f>INDEX(BF33:BH33,$AJ$4)</f>
        <v>Jména</v>
      </c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7"/>
      <c r="U63" s="4"/>
      <c r="V63" s="4"/>
      <c r="W63" s="4"/>
      <c r="X63" s="4"/>
      <c r="Y63" s="4"/>
      <c r="Z63" s="4"/>
      <c r="AA63" s="4"/>
      <c r="AB63" s="4"/>
      <c r="AC63" s="4"/>
      <c r="AD63" s="4"/>
      <c r="AF63" s="4"/>
      <c r="AH63" s="4"/>
      <c r="AJ63" s="70" t="s">
        <v>137</v>
      </c>
      <c r="AL63" s="134"/>
      <c r="AM63" s="134"/>
      <c r="AN63" s="134"/>
      <c r="AO63" s="141" t="s">
        <v>133</v>
      </c>
      <c r="AP63" s="141" t="s">
        <v>134</v>
      </c>
      <c r="AQ63" s="141" t="s">
        <v>135</v>
      </c>
      <c r="AR63" s="141" t="s">
        <v>136</v>
      </c>
      <c r="AS63" s="134" t="s">
        <v>138</v>
      </c>
      <c r="AT63" s="134" t="s">
        <v>139</v>
      </c>
      <c r="AU63" s="134" t="s">
        <v>139</v>
      </c>
    </row>
    <row r="64" spans="1:50" ht="18" customHeight="1">
      <c r="A64" s="104" t="s">
        <v>9</v>
      </c>
      <c r="B64" s="113" t="str">
        <f>IF(AM46="","",VLOOKUP(1,$AM$46:$AR$47,2,0))</f>
        <v>Sokol Zlín-Prštné 1</v>
      </c>
      <c r="C64" s="127" t="str">
        <f>IF(AM46="","",VLOOKUP(1,$AM$46:$AR$47,3,0))</f>
        <v>Baxa Richard</v>
      </c>
      <c r="D64" s="128"/>
      <c r="E64" s="128"/>
      <c r="F64" s="129"/>
      <c r="G64" s="129"/>
      <c r="H64" s="129"/>
      <c r="I64" s="129"/>
      <c r="J64" s="129" t="s">
        <v>129</v>
      </c>
      <c r="K64" s="129" t="str">
        <f>IF(AM46="","",VLOOKUP(1,$AM$46:$AR$47,5,0))</f>
        <v>Struhař Kryštof</v>
      </c>
      <c r="L64" s="129"/>
      <c r="M64" s="129"/>
      <c r="N64" s="129"/>
      <c r="O64" s="129"/>
      <c r="P64" s="129"/>
      <c r="Q64" s="130"/>
      <c r="U64" s="4"/>
      <c r="V64" s="4"/>
      <c r="W64" s="4"/>
      <c r="X64" s="4"/>
      <c r="Y64" s="4"/>
      <c r="Z64" s="4"/>
      <c r="AA64" s="4"/>
      <c r="AB64" s="4"/>
      <c r="AC64" s="4"/>
      <c r="AD64" s="4"/>
      <c r="AF64" s="4"/>
      <c r="AH64" s="4"/>
      <c r="AI64" s="17"/>
      <c r="AJ64" s="170"/>
      <c r="AK64" s="123">
        <f t="shared" ref="AK64:AK69" si="0">AH31</f>
        <v>1</v>
      </c>
      <c r="AL64" t="str">
        <f t="shared" ref="AL64:AL69" si="1">B12</f>
        <v>Sokol Zlín-Prštné 1</v>
      </c>
      <c r="AM64" s="125" t="str">
        <f t="shared" ref="AM64:AM69" si="2">F12</f>
        <v>Baxa Richard</v>
      </c>
      <c r="AN64" t="str">
        <f t="shared" ref="AN64:AN69" si="3">W12</f>
        <v>Struhař Kryštof</v>
      </c>
      <c r="AO64">
        <f>'Pořadí zápasů 5 Teams_Spielplan'!S6</f>
        <v>5</v>
      </c>
      <c r="AP64">
        <f>'Pořadí zápasů 5 Teams_Spielplan'!U6</f>
        <v>3</v>
      </c>
      <c r="AQ64">
        <f>'Pořadí zápasů 5 Teams_Spielplan'!V6</f>
        <v>2</v>
      </c>
      <c r="AR64">
        <f>'Pořadí zápasů 5 Teams_Spielplan'!W6</f>
        <v>0</v>
      </c>
      <c r="AS64" s="125">
        <f t="shared" ref="AS64:AT69" si="4">AD31</f>
        <v>10</v>
      </c>
      <c r="AT64" s="126">
        <f t="shared" si="4"/>
        <v>17</v>
      </c>
      <c r="AU64" s="126">
        <f t="shared" ref="AU64:AU69" si="5">AG31</f>
        <v>4</v>
      </c>
    </row>
    <row r="65" spans="1:47" ht="18" customHeight="1">
      <c r="A65" s="104" t="s">
        <v>10</v>
      </c>
      <c r="B65" s="113" t="str">
        <f>IF(AM46="","",VLOOKUP(2,$AM$46:$AR$47,2,0))</f>
        <v>Šitbořice/Nezamyslice</v>
      </c>
      <c r="C65" s="127" t="str">
        <f>IF(AM46="","",VLOOKUP(2,$AM$46:$AR$47,3,0))</f>
        <v>Nečas Vojtěch</v>
      </c>
      <c r="D65" s="128"/>
      <c r="E65" s="128"/>
      <c r="F65" s="129"/>
      <c r="G65" s="129"/>
      <c r="H65" s="129"/>
      <c r="I65" s="129"/>
      <c r="J65" s="129" t="s">
        <v>129</v>
      </c>
      <c r="K65" s="129" t="str">
        <f>IF(AM46="","",VLOOKUP(2,$AM$46:$AR$47,5,0))</f>
        <v>Matušinec Matěj</v>
      </c>
      <c r="L65" s="129"/>
      <c r="M65" s="129"/>
      <c r="N65" s="129"/>
      <c r="O65" s="129"/>
      <c r="P65" s="129"/>
      <c r="Q65" s="130"/>
      <c r="U65" s="4"/>
      <c r="V65" s="4"/>
      <c r="W65" s="4"/>
      <c r="X65" s="4"/>
      <c r="Y65" s="4"/>
      <c r="Z65" s="4"/>
      <c r="AA65" s="4"/>
      <c r="AB65" s="4"/>
      <c r="AC65" s="4"/>
      <c r="AD65" s="4"/>
      <c r="AF65" s="4"/>
      <c r="AH65" s="4"/>
      <c r="AI65" s="17"/>
      <c r="AJ65" s="171" t="s">
        <v>153</v>
      </c>
      <c r="AK65" s="123">
        <f t="shared" si="0"/>
        <v>4</v>
      </c>
      <c r="AL65" t="str">
        <f t="shared" si="1"/>
        <v>Sokol Zlín-Prštné 2</v>
      </c>
      <c r="AM65" s="125" t="str">
        <f t="shared" si="2"/>
        <v>Buršík Štěpán</v>
      </c>
      <c r="AN65" t="str">
        <f t="shared" si="3"/>
        <v>Matras Dominik</v>
      </c>
      <c r="AO65">
        <f>'Pořadí zápasů 5 Teams_Spielplan'!S7</f>
        <v>5</v>
      </c>
      <c r="AP65">
        <f>'Pořadí zápasů 5 Teams_Spielplan'!U7</f>
        <v>1</v>
      </c>
      <c r="AQ65">
        <f>'Pořadí zápasů 5 Teams_Spielplan'!V7</f>
        <v>1</v>
      </c>
      <c r="AR65">
        <f>'Pořadí zápasů 5 Teams_Spielplan'!W7</f>
        <v>3</v>
      </c>
      <c r="AS65" s="125">
        <f t="shared" si="4"/>
        <v>3</v>
      </c>
      <c r="AT65" s="126">
        <f t="shared" si="4"/>
        <v>6</v>
      </c>
      <c r="AU65" s="126">
        <f t="shared" si="5"/>
        <v>7</v>
      </c>
    </row>
    <row r="66" spans="1:47" ht="18" customHeight="1">
      <c r="A66" s="104" t="s">
        <v>14</v>
      </c>
      <c r="B66" s="113" t="str">
        <f>IF(AM42="","",VLOOKUP(1,$AM$42:$AR$43,2,0))</f>
        <v>Sokol Zlín-Prštné 2</v>
      </c>
      <c r="C66" s="127" t="str">
        <f>IF(AM42="","",VLOOKUP(1,$AM$42:$AR$43,3,0))</f>
        <v>Buršík Štěpán</v>
      </c>
      <c r="D66" s="128"/>
      <c r="E66" s="128"/>
      <c r="F66" s="129"/>
      <c r="G66" s="129"/>
      <c r="H66" s="129"/>
      <c r="I66" s="129"/>
      <c r="J66" s="129" t="s">
        <v>129</v>
      </c>
      <c r="K66" s="129" t="str">
        <f>IF(AM42="","",VLOOKUP(1,$AM$42:$AR$43,5,0))</f>
        <v>Matras Dominik</v>
      </c>
      <c r="L66" s="129"/>
      <c r="M66" s="129"/>
      <c r="N66" s="129"/>
      <c r="O66" s="129"/>
      <c r="P66" s="129"/>
      <c r="Q66" s="130"/>
      <c r="U66" s="4"/>
      <c r="V66" s="4"/>
      <c r="W66" s="4"/>
      <c r="X66" s="4"/>
      <c r="Y66" s="4"/>
      <c r="Z66" s="4"/>
      <c r="AA66" s="4"/>
      <c r="AB66" s="4"/>
      <c r="AC66" s="4"/>
      <c r="AD66" s="4"/>
      <c r="AF66" s="4"/>
      <c r="AH66" s="4"/>
      <c r="AI66" s="17"/>
      <c r="AJ66" s="171" t="s">
        <v>154</v>
      </c>
      <c r="AK66" s="123">
        <f t="shared" si="0"/>
        <v>5</v>
      </c>
      <c r="AL66" t="str">
        <f t="shared" si="1"/>
        <v>Sokol Šitbořice</v>
      </c>
      <c r="AM66" s="125" t="str">
        <f t="shared" si="2"/>
        <v>Doležal Vítek</v>
      </c>
      <c r="AN66" t="str">
        <f t="shared" si="3"/>
        <v>Šabata Matěj</v>
      </c>
      <c r="AO66">
        <f>'Pořadí zápasů 5 Teams_Spielplan'!S8</f>
        <v>4</v>
      </c>
      <c r="AP66">
        <f>'Pořadí zápasů 5 Teams_Spielplan'!U8</f>
        <v>0</v>
      </c>
      <c r="AQ66">
        <f>'Pořadí zápasů 5 Teams_Spielplan'!V8</f>
        <v>0</v>
      </c>
      <c r="AR66">
        <f>'Pořadí zápasů 5 Teams_Spielplan'!W8</f>
        <v>4</v>
      </c>
      <c r="AS66" s="125">
        <f t="shared" si="4"/>
        <v>0</v>
      </c>
      <c r="AT66" s="126">
        <f t="shared" si="4"/>
        <v>1</v>
      </c>
      <c r="AU66" s="126">
        <f t="shared" si="5"/>
        <v>20</v>
      </c>
    </row>
    <row r="67" spans="1:47" ht="18" customHeight="1">
      <c r="A67" s="104" t="s">
        <v>13</v>
      </c>
      <c r="B67" s="113" t="str">
        <f>IF(AM42="","",VLOOKUP(2,$AM$42:$AR$43,2,0))</f>
        <v>Lokomotiva Liberec</v>
      </c>
      <c r="C67" s="127" t="str">
        <f>IF(AM42="","",VLOOKUP(2,$AM$42:$AR$43,3,0))</f>
        <v>Pomališ Hynek</v>
      </c>
      <c r="D67" s="128"/>
      <c r="E67" s="128"/>
      <c r="F67" s="129"/>
      <c r="G67" s="129"/>
      <c r="H67" s="129"/>
      <c r="I67" s="129"/>
      <c r="J67" s="129" t="s">
        <v>129</v>
      </c>
      <c r="K67" s="129" t="str">
        <f>IF(AM42="","",VLOOKUP(2,$AM$42:$AR$43,5,0))</f>
        <v>Šidlof Pavel</v>
      </c>
      <c r="L67" s="129"/>
      <c r="M67" s="129"/>
      <c r="N67" s="129"/>
      <c r="O67" s="129"/>
      <c r="P67" s="129"/>
      <c r="Q67" s="130"/>
      <c r="U67" s="4"/>
      <c r="V67" s="4"/>
      <c r="W67" s="4"/>
      <c r="X67" s="4"/>
      <c r="Y67" s="4"/>
      <c r="Z67" s="4"/>
      <c r="AA67" s="4"/>
      <c r="AB67" s="4"/>
      <c r="AC67" s="4"/>
      <c r="AD67" s="4"/>
      <c r="AF67" s="4"/>
      <c r="AH67" s="4"/>
      <c r="AI67" s="17"/>
      <c r="AJ67" s="17"/>
      <c r="AK67" s="123">
        <f t="shared" si="0"/>
        <v>2</v>
      </c>
      <c r="AL67" t="str">
        <f t="shared" si="1"/>
        <v>Šitbořice/Nezamyslice</v>
      </c>
      <c r="AM67" s="125" t="str">
        <f t="shared" si="2"/>
        <v>Nečas Vojtěch</v>
      </c>
      <c r="AN67" t="str">
        <f t="shared" si="3"/>
        <v>Matušinec Matěj</v>
      </c>
      <c r="AO67">
        <f>'Pořadí zápasů 5 Teams_Spielplan'!S9</f>
        <v>5</v>
      </c>
      <c r="AP67">
        <f>'Pořadí zápasů 5 Teams_Spielplan'!U9</f>
        <v>3</v>
      </c>
      <c r="AQ67">
        <f>'Pořadí zápasů 5 Teams_Spielplan'!V9</f>
        <v>2</v>
      </c>
      <c r="AR67">
        <f>'Pořadí zápasů 5 Teams_Spielplan'!W9</f>
        <v>0</v>
      </c>
      <c r="AS67" s="125">
        <f t="shared" si="4"/>
        <v>10</v>
      </c>
      <c r="AT67" s="126">
        <f t="shared" si="4"/>
        <v>16</v>
      </c>
      <c r="AU67" s="126">
        <f t="shared" si="5"/>
        <v>4</v>
      </c>
    </row>
    <row r="68" spans="1:47" ht="18" customHeight="1">
      <c r="A68" s="104" t="s">
        <v>11</v>
      </c>
      <c r="B68" s="105" t="str">
        <f>IF(AK68="","",VLOOKUP(5,$AK$64:$AU$70,2,0))</f>
        <v>Sokol Šitbořice</v>
      </c>
      <c r="C68" s="127" t="str">
        <f>IF(AK68="","",VLOOKUP(5,$AK$64:$AU$70,3,0))</f>
        <v>Doležal Vítek</v>
      </c>
      <c r="D68" s="131"/>
      <c r="E68" s="131"/>
      <c r="F68" s="132"/>
      <c r="G68" s="132"/>
      <c r="H68" s="132"/>
      <c r="I68" s="132"/>
      <c r="J68" s="129" t="s">
        <v>129</v>
      </c>
      <c r="K68" s="129" t="str">
        <f>IF(AK68="","",VLOOKUP(5,$AK$64:$AU$70,4,0))</f>
        <v>Šabata Matěj</v>
      </c>
      <c r="L68" s="132"/>
      <c r="M68" s="132"/>
      <c r="N68" s="132"/>
      <c r="O68" s="132"/>
      <c r="P68" s="132"/>
      <c r="Q68" s="133"/>
      <c r="U68" s="4"/>
      <c r="V68" s="4"/>
      <c r="W68" s="4"/>
      <c r="X68" s="4"/>
      <c r="Y68" s="4"/>
      <c r="Z68" s="4"/>
      <c r="AA68" s="4"/>
      <c r="AB68" s="4"/>
      <c r="AC68" s="4"/>
      <c r="AD68" s="4"/>
      <c r="AF68" s="4"/>
      <c r="AH68" s="4"/>
      <c r="AI68" s="17"/>
      <c r="AJ68" s="17"/>
      <c r="AK68" s="123">
        <f t="shared" si="0"/>
        <v>3</v>
      </c>
      <c r="AL68" t="str">
        <f t="shared" si="1"/>
        <v>Lokomotiva Liberec</v>
      </c>
      <c r="AM68" s="125" t="str">
        <f t="shared" si="2"/>
        <v>Pomališ Hynek</v>
      </c>
      <c r="AN68" t="str">
        <f t="shared" si="3"/>
        <v>Šidlof Pavel</v>
      </c>
      <c r="AO68">
        <f>'Pořadí zápasů 5 Teams_Spielplan'!S10</f>
        <v>5</v>
      </c>
      <c r="AP68">
        <f>'Pořadí zápasů 5 Teams_Spielplan'!U10</f>
        <v>2</v>
      </c>
      <c r="AQ68">
        <f>'Pořadí zápasů 5 Teams_Spielplan'!V10</f>
        <v>1</v>
      </c>
      <c r="AR68">
        <f>'Pořadí zápasů 5 Teams_Spielplan'!W10</f>
        <v>2</v>
      </c>
      <c r="AS68" s="125">
        <f t="shared" si="4"/>
        <v>6</v>
      </c>
      <c r="AT68" s="126">
        <f t="shared" si="4"/>
        <v>7</v>
      </c>
      <c r="AU68" s="126">
        <f t="shared" si="5"/>
        <v>12</v>
      </c>
    </row>
    <row r="69" spans="1:47" ht="18" customHeight="1">
      <c r="AE69"/>
      <c r="AG69"/>
      <c r="AI69" s="17"/>
      <c r="AJ69" s="17"/>
      <c r="AK69" s="123">
        <f t="shared" si="0"/>
        <v>0</v>
      </c>
      <c r="AL69">
        <f t="shared" si="1"/>
        <v>0</v>
      </c>
      <c r="AM69" s="125">
        <f t="shared" si="2"/>
        <v>0</v>
      </c>
      <c r="AN69">
        <f t="shared" si="3"/>
        <v>0</v>
      </c>
      <c r="AO69">
        <f>'Pořadí zápasů 5 Teams_Spielplan'!S11</f>
        <v>0</v>
      </c>
      <c r="AP69">
        <f>'Pořadí zápasů 5 Teams_Spielplan'!U11</f>
        <v>0</v>
      </c>
      <c r="AQ69">
        <f>'Pořadí zápasů 5 Teams_Spielplan'!V11</f>
        <v>-1</v>
      </c>
      <c r="AR69">
        <f>'Pořadí zápasů 5 Teams_Spielplan'!W11</f>
        <v>1</v>
      </c>
      <c r="AS69" s="125">
        <f t="shared" si="4"/>
        <v>0</v>
      </c>
      <c r="AT69" s="126">
        <f t="shared" si="4"/>
        <v>0</v>
      </c>
      <c r="AU69" s="126">
        <f t="shared" si="5"/>
        <v>0</v>
      </c>
    </row>
  </sheetData>
  <mergeCells count="54">
    <mergeCell ref="AA47:AB47"/>
    <mergeCell ref="S46:V46"/>
    <mergeCell ref="W46:Z46"/>
    <mergeCell ref="AA46:AB46"/>
    <mergeCell ref="A49:H49"/>
    <mergeCell ref="A45:A46"/>
    <mergeCell ref="S45:Z45"/>
    <mergeCell ref="AA45:AD45"/>
    <mergeCell ref="D46:M46"/>
    <mergeCell ref="A61:H61"/>
    <mergeCell ref="X29:Z29"/>
    <mergeCell ref="L29:N29"/>
    <mergeCell ref="O29:Q29"/>
    <mergeCell ref="C63:Q63"/>
    <mergeCell ref="R29:T29"/>
    <mergeCell ref="U29:W29"/>
    <mergeCell ref="C29:E29"/>
    <mergeCell ref="F29:H29"/>
    <mergeCell ref="A41:A42"/>
    <mergeCell ref="D42:M42"/>
    <mergeCell ref="S42:V42"/>
    <mergeCell ref="I29:K29"/>
    <mergeCell ref="S41:Z41"/>
    <mergeCell ref="W42:Z42"/>
    <mergeCell ref="AE45:AG45"/>
    <mergeCell ref="C4:AA4"/>
    <mergeCell ref="F19:Q19"/>
    <mergeCell ref="C5:K5"/>
    <mergeCell ref="C7:D7"/>
    <mergeCell ref="F7:G7"/>
    <mergeCell ref="A9:H9"/>
    <mergeCell ref="B11:E11"/>
    <mergeCell ref="K6:AA6"/>
    <mergeCell ref="R11:V11"/>
    <mergeCell ref="R12:V12"/>
    <mergeCell ref="W11:AD11"/>
    <mergeCell ref="AA41:AD41"/>
    <mergeCell ref="AA43:AB43"/>
    <mergeCell ref="AA42:AB42"/>
    <mergeCell ref="AG11:AH11"/>
    <mergeCell ref="F11:O11"/>
    <mergeCell ref="P11:Q11"/>
    <mergeCell ref="A21:H21"/>
    <mergeCell ref="A39:X39"/>
    <mergeCell ref="AE41:AG41"/>
    <mergeCell ref="AG16:AH16"/>
    <mergeCell ref="AG12:AH12"/>
    <mergeCell ref="R13:V13"/>
    <mergeCell ref="AG13:AH13"/>
    <mergeCell ref="R14:V14"/>
    <mergeCell ref="AG14:AH14"/>
    <mergeCell ref="R15:V15"/>
    <mergeCell ref="AG15:AH15"/>
    <mergeCell ref="R16:V16"/>
  </mergeCells>
  <phoneticPr fontId="0" type="noConversion"/>
  <conditionalFormatting sqref="AH31:AH35">
    <cfRule type="duplicateValues" dxfId="2" priority="3" stopIfTrue="1"/>
  </conditionalFormatting>
  <conditionalFormatting sqref="AH43">
    <cfRule type="duplicateValues" dxfId="1" priority="2" stopIfTrue="1"/>
  </conditionalFormatting>
  <conditionalFormatting sqref="AH47">
    <cfRule type="duplicateValues" dxfId="0" priority="1" stopIfTrue="1"/>
  </conditionalFormatting>
  <dataValidations count="2">
    <dataValidation type="list" allowBlank="1" showInputMessage="1" promptTitle="Seznam klubů:" prompt="Zadej spolek - klub rozbalovacím tlačítkem" sqref="K6:AA6">
      <formula1>$AN$8:$AN$21</formula1>
    </dataValidation>
    <dataValidation type="list" allowBlank="1" showInputMessage="1" promptTitle="Doba hry:" prompt="Zadej počet minut rozbalovacím tlačítkem" sqref="U7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rowBreaks count="1" manualBreakCount="1">
    <brk id="48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A7" zoomScale="90" zoomScaleNormal="90" workbookViewId="0">
      <selection activeCell="K27" sqref="K27"/>
    </sheetView>
  </sheetViews>
  <sheetFormatPr defaultRowHeight="13.2"/>
  <cols>
    <col min="1" max="1" width="5.77734375" customWidth="1"/>
    <col min="2" max="2" width="3.21875" customWidth="1"/>
    <col min="3" max="3" width="24.77734375" customWidth="1"/>
    <col min="4" max="4" width="2.21875" customWidth="1"/>
    <col min="5" max="5" width="24.77734375" customWidth="1"/>
    <col min="6" max="6" width="10.5546875" customWidth="1"/>
    <col min="7" max="8" width="9.77734375" customWidth="1"/>
    <col min="9" max="9" width="4.44140625" style="107" customWidth="1"/>
    <col min="10" max="10" width="1.21875" style="107" customWidth="1"/>
    <col min="11" max="11" width="4.44140625" style="107" customWidth="1"/>
    <col min="12" max="12" width="4.33203125" style="107" customWidth="1"/>
    <col min="13" max="13" width="1.21875" style="107" customWidth="1"/>
    <col min="14" max="14" width="4.44140625" style="107" customWidth="1"/>
    <col min="15" max="15" width="6.88671875" customWidth="1"/>
    <col min="16" max="16" width="8" customWidth="1"/>
    <col min="17" max="17" width="20.77734375" customWidth="1"/>
    <col min="18" max="18" width="3.5546875" hidden="1" customWidth="1"/>
    <col min="19" max="19" width="13" hidden="1" customWidth="1"/>
    <col min="20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3" width="8.77734375" hidden="1" customWidth="1"/>
    <col min="34" max="43" width="8.77734375" customWidth="1"/>
  </cols>
  <sheetData>
    <row r="1" spans="1:33" ht="9" customHeight="1" thickBot="1">
      <c r="AC1" s="40" t="s">
        <v>29</v>
      </c>
      <c r="AD1" s="40" t="s">
        <v>31</v>
      </c>
      <c r="AE1" s="40" t="s">
        <v>30</v>
      </c>
    </row>
    <row r="2" spans="1:33" s="29" customFormat="1" ht="25.95" customHeight="1" thickTop="1" thickBot="1">
      <c r="A2" s="405" t="str">
        <f>INDEX(AC6:AE6,$P$2)</f>
        <v>Pořadí zápasů - 5 družstev</v>
      </c>
      <c r="B2" s="406"/>
      <c r="C2" s="406"/>
      <c r="D2" s="406"/>
      <c r="E2" s="406"/>
      <c r="F2" s="406"/>
      <c r="G2" s="406"/>
      <c r="H2" s="406"/>
      <c r="I2" s="402" t="s">
        <v>213</v>
      </c>
      <c r="J2" s="403"/>
      <c r="K2" s="404"/>
      <c r="L2" s="402" t="s">
        <v>219</v>
      </c>
      <c r="M2" s="403"/>
      <c r="N2" s="404"/>
      <c r="P2" s="200">
        <f>'Protokol 5 Teams'!AJ4</f>
        <v>1</v>
      </c>
      <c r="Q2" s="42" t="s">
        <v>167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3" s="37" customFormat="1" ht="13.5" customHeight="1" thickBot="1">
      <c r="A3" s="35"/>
      <c r="B3" s="35"/>
      <c r="C3" s="36"/>
      <c r="D3" s="36"/>
      <c r="E3" s="36"/>
      <c r="F3" s="36"/>
      <c r="G3" s="36"/>
      <c r="H3" s="36"/>
      <c r="I3" s="108"/>
      <c r="J3" s="108"/>
      <c r="K3" s="108"/>
      <c r="L3" s="108"/>
      <c r="M3" s="108"/>
      <c r="N3" s="108"/>
      <c r="AB3" s="51"/>
    </row>
    <row r="4" spans="1:33" ht="15.75" customHeight="1" thickBot="1">
      <c r="A4" s="409" t="str">
        <f>INDEX(AC7:AE7,$P$2)</f>
        <v>Č.</v>
      </c>
      <c r="B4" s="411"/>
      <c r="C4" s="413" t="str">
        <f>INDEX(AC8:AE8,$P$2)</f>
        <v>1. družstvo</v>
      </c>
      <c r="D4" s="31"/>
      <c r="E4" s="415" t="str">
        <f>INDEX(AC9:AE9,$P$2)</f>
        <v>2. družstvo</v>
      </c>
      <c r="F4" s="417" t="str">
        <f>INDEX(AC10:AE10,$P$2)</f>
        <v>Rozhodčí</v>
      </c>
      <c r="G4" s="419" t="str">
        <f>INDEX(AC11:AE11,$P$2)</f>
        <v>Branky poločasů</v>
      </c>
      <c r="H4" s="420"/>
      <c r="I4" s="421" t="str">
        <f>INDEX(AC14:AE14,$P$2)</f>
        <v>Poločas</v>
      </c>
      <c r="J4" s="422"/>
      <c r="K4" s="423"/>
      <c r="L4" s="421" t="str">
        <f>INDEX(AC15:AE15,$P$2)</f>
        <v>Výsledek</v>
      </c>
      <c r="M4" s="422"/>
      <c r="N4" s="426"/>
      <c r="P4" s="46" t="str">
        <f>INDEX(AC16:AE16,$P$2)</f>
        <v>MIMO OBLAST TISKU</v>
      </c>
      <c r="Q4" s="47"/>
      <c r="R4" s="37"/>
      <c r="S4" s="407">
        <f>INDEX(AC22:AE22,$P$2)</f>
        <v>0</v>
      </c>
      <c r="T4" s="115"/>
      <c r="U4" s="115"/>
      <c r="V4" s="115"/>
      <c r="W4" s="115"/>
      <c r="AB4" s="43"/>
      <c r="AC4" s="58" t="s">
        <v>143</v>
      </c>
      <c r="AD4" s="61" t="s">
        <v>144</v>
      </c>
      <c r="AE4" s="59" t="s">
        <v>145</v>
      </c>
      <c r="AF4" s="59"/>
      <c r="AG4" s="59"/>
    </row>
    <row r="5" spans="1:33" ht="15.75" customHeight="1" thickBot="1">
      <c r="A5" s="410"/>
      <c r="B5" s="412"/>
      <c r="C5" s="414"/>
      <c r="D5" s="32"/>
      <c r="E5" s="416"/>
      <c r="F5" s="418"/>
      <c r="G5" s="33" t="str">
        <f>INDEX(AC12:AE12,$P$2)</f>
        <v>1.druž.</v>
      </c>
      <c r="H5" s="27" t="str">
        <f>INDEX(AC13:AE13,$P$2)</f>
        <v>2.druž.</v>
      </c>
      <c r="I5" s="424"/>
      <c r="J5" s="416"/>
      <c r="K5" s="425"/>
      <c r="L5" s="414"/>
      <c r="M5" s="416"/>
      <c r="N5" s="427"/>
      <c r="P5" s="25">
        <f>INDEX(AC21:AE21,$P$2)</f>
        <v>0</v>
      </c>
      <c r="Q5" s="38"/>
      <c r="R5" s="37"/>
      <c r="S5" s="408"/>
      <c r="T5" s="138"/>
      <c r="U5" s="154" t="s">
        <v>130</v>
      </c>
      <c r="V5" s="154" t="s">
        <v>132</v>
      </c>
      <c r="W5" s="154" t="s">
        <v>131</v>
      </c>
      <c r="X5" s="140" t="s">
        <v>130</v>
      </c>
      <c r="Y5" s="140" t="s">
        <v>130</v>
      </c>
      <c r="Z5" s="140" t="s">
        <v>131</v>
      </c>
      <c r="AA5" s="140" t="s">
        <v>131</v>
      </c>
      <c r="AB5" s="43"/>
    </row>
    <row r="6" spans="1:33" ht="32.1" customHeight="1">
      <c r="A6" s="73" t="s">
        <v>9</v>
      </c>
      <c r="B6" s="34"/>
      <c r="C6" s="300" t="str">
        <f>Q6</f>
        <v>Sokol Zlín-Prštné 1</v>
      </c>
      <c r="D6" s="71" t="s">
        <v>7</v>
      </c>
      <c r="E6" s="302" t="str">
        <f>Q7</f>
        <v>Sokol Zlín-Prštné 2</v>
      </c>
      <c r="F6" s="320" t="s">
        <v>237</v>
      </c>
      <c r="G6" s="106" t="s">
        <v>18</v>
      </c>
      <c r="H6" s="106" t="s">
        <v>24</v>
      </c>
      <c r="I6" s="116" t="s">
        <v>242</v>
      </c>
      <c r="J6" s="118" t="s">
        <v>7</v>
      </c>
      <c r="K6" s="117" t="s">
        <v>243</v>
      </c>
      <c r="L6" s="174">
        <v>2</v>
      </c>
      <c r="M6" s="175" t="s">
        <v>7</v>
      </c>
      <c r="N6" s="176">
        <v>0</v>
      </c>
      <c r="P6" s="30">
        <v>1</v>
      </c>
      <c r="Q6" s="109" t="s">
        <v>215</v>
      </c>
      <c r="R6" s="37"/>
      <c r="S6" s="39">
        <f>COUNTIF($C$6:$E$24,Q6)</f>
        <v>5</v>
      </c>
      <c r="T6" s="139"/>
      <c r="U6" s="155">
        <f t="shared" ref="U6:U11" si="0">COUNTIFS($X$6:$Y$24,Q6)</f>
        <v>3</v>
      </c>
      <c r="V6" s="156">
        <f t="shared" ref="V6:V11" si="1">S6-U6-W6</f>
        <v>2</v>
      </c>
      <c r="W6" s="155">
        <f t="shared" ref="W6:W11" si="2">COUNTIFS($Z$6:$AA$24,Q6)</f>
        <v>0</v>
      </c>
      <c r="X6" s="152" t="str">
        <f>IF(L6&gt;N6,C6,"")</f>
        <v>Sokol Zlín-Prštné 1</v>
      </c>
      <c r="Y6" s="152" t="str">
        <f>IF(L6&lt;N6,E6,"")</f>
        <v/>
      </c>
      <c r="Z6" s="153" t="str">
        <f t="shared" ref="Z6:Z23" si="3">IF(L6&lt;N6,C6,"")</f>
        <v/>
      </c>
      <c r="AA6" s="153" t="str">
        <f>IF(L6&gt;N6,E6,"")</f>
        <v>Sokol Zlín-Prštné 2</v>
      </c>
      <c r="AB6" s="43"/>
      <c r="AC6" t="s">
        <v>162</v>
      </c>
      <c r="AD6" t="s">
        <v>163</v>
      </c>
      <c r="AE6" t="s">
        <v>164</v>
      </c>
    </row>
    <row r="7" spans="1:33" ht="32.1" customHeight="1">
      <c r="A7" s="73" t="s">
        <v>10</v>
      </c>
      <c r="B7" s="34"/>
      <c r="C7" s="301" t="str">
        <f>Q8</f>
        <v>Sokol Šitbořice</v>
      </c>
      <c r="D7" s="72" t="s">
        <v>7</v>
      </c>
      <c r="E7" s="303" t="str">
        <f>Q9</f>
        <v>Šitbořice/Nezamyslice</v>
      </c>
      <c r="F7" s="320" t="s">
        <v>235</v>
      </c>
      <c r="G7" s="106" t="s">
        <v>18</v>
      </c>
      <c r="H7" s="106" t="s">
        <v>24</v>
      </c>
      <c r="I7" s="116" t="s">
        <v>243</v>
      </c>
      <c r="J7" s="118" t="s">
        <v>7</v>
      </c>
      <c r="K7" s="117" t="s">
        <v>244</v>
      </c>
      <c r="L7" s="174">
        <v>0</v>
      </c>
      <c r="M7" s="175" t="s">
        <v>7</v>
      </c>
      <c r="N7" s="176">
        <v>6</v>
      </c>
      <c r="P7" s="30">
        <v>2</v>
      </c>
      <c r="Q7" s="109" t="s">
        <v>216</v>
      </c>
      <c r="R7" s="37"/>
      <c r="S7" s="39">
        <f>COUNTIF($C$6:$E$24,Q7)</f>
        <v>5</v>
      </c>
      <c r="T7" s="139"/>
      <c r="U7" s="155">
        <f t="shared" si="0"/>
        <v>1</v>
      </c>
      <c r="V7" s="156">
        <f t="shared" si="1"/>
        <v>1</v>
      </c>
      <c r="W7" s="155">
        <f t="shared" si="2"/>
        <v>3</v>
      </c>
      <c r="X7" s="152" t="str">
        <f t="shared" ref="X7:X23" si="4">IF(L7&gt;N7,C7,"")</f>
        <v/>
      </c>
      <c r="Y7" s="152" t="str">
        <f t="shared" ref="Y7:Y23" si="5">IF(L7&lt;N7,E7,"")</f>
        <v>Šitbořice/Nezamyslice</v>
      </c>
      <c r="Z7" s="153" t="str">
        <f t="shared" si="3"/>
        <v>Sokol Šitbořice</v>
      </c>
      <c r="AA7" s="153" t="str">
        <f t="shared" ref="AA7:AA23" si="6">IF(L7&gt;N7,E7,"")</f>
        <v/>
      </c>
      <c r="AB7" s="43"/>
      <c r="AC7" t="s">
        <v>74</v>
      </c>
      <c r="AD7" t="s">
        <v>102</v>
      </c>
      <c r="AE7" t="s">
        <v>103</v>
      </c>
    </row>
    <row r="8" spans="1:33" ht="32.1" customHeight="1">
      <c r="A8" s="73" t="s">
        <v>14</v>
      </c>
      <c r="B8" s="34"/>
      <c r="C8" s="301" t="str">
        <f>Q6</f>
        <v>Sokol Zlín-Prštné 1</v>
      </c>
      <c r="D8" s="72" t="s">
        <v>7</v>
      </c>
      <c r="E8" s="303" t="str">
        <f>Q10</f>
        <v>Lokomotiva Liberec</v>
      </c>
      <c r="F8" s="320" t="s">
        <v>236</v>
      </c>
      <c r="G8" s="106" t="s">
        <v>18</v>
      </c>
      <c r="H8" s="106" t="s">
        <v>24</v>
      </c>
      <c r="I8" s="116" t="s">
        <v>245</v>
      </c>
      <c r="J8" s="118" t="s">
        <v>7</v>
      </c>
      <c r="K8" s="117" t="s">
        <v>243</v>
      </c>
      <c r="L8" s="174">
        <v>6</v>
      </c>
      <c r="M8" s="175" t="s">
        <v>7</v>
      </c>
      <c r="N8" s="176">
        <v>1</v>
      </c>
      <c r="P8" s="30">
        <v>3</v>
      </c>
      <c r="Q8" s="109" t="s">
        <v>217</v>
      </c>
      <c r="R8" s="37"/>
      <c r="S8" s="39">
        <f>COUNTIF($C$6:$E$24,Q8)</f>
        <v>4</v>
      </c>
      <c r="T8" s="139"/>
      <c r="U8" s="155">
        <f t="shared" si="0"/>
        <v>0</v>
      </c>
      <c r="V8" s="156">
        <f t="shared" si="1"/>
        <v>0</v>
      </c>
      <c r="W8" s="155">
        <f t="shared" si="2"/>
        <v>4</v>
      </c>
      <c r="X8" s="152" t="str">
        <f t="shared" si="4"/>
        <v>Sokol Zlín-Prštné 1</v>
      </c>
      <c r="Y8" s="152" t="str">
        <f t="shared" si="5"/>
        <v/>
      </c>
      <c r="Z8" s="153" t="str">
        <f t="shared" si="3"/>
        <v/>
      </c>
      <c r="AA8" s="153" t="str">
        <f t="shared" si="6"/>
        <v>Lokomotiva Liberec</v>
      </c>
      <c r="AB8" s="43"/>
      <c r="AC8" t="s">
        <v>124</v>
      </c>
      <c r="AD8" t="s">
        <v>104</v>
      </c>
      <c r="AE8" t="s">
        <v>126</v>
      </c>
    </row>
    <row r="9" spans="1:33" ht="32.1" customHeight="1">
      <c r="A9" s="73" t="s">
        <v>13</v>
      </c>
      <c r="B9" s="34"/>
      <c r="C9" s="301" t="str">
        <f>Q7</f>
        <v>Sokol Zlín-Prštné 2</v>
      </c>
      <c r="D9" s="72" t="s">
        <v>7</v>
      </c>
      <c r="E9" s="303" t="str">
        <f>Q8</f>
        <v>Sokol Šitbořice</v>
      </c>
      <c r="F9" s="320" t="s">
        <v>237</v>
      </c>
      <c r="G9" s="106" t="s">
        <v>18</v>
      </c>
      <c r="H9" s="106" t="s">
        <v>24</v>
      </c>
      <c r="I9" s="116" t="s">
        <v>242</v>
      </c>
      <c r="J9" s="118" t="s">
        <v>7</v>
      </c>
      <c r="K9" s="117" t="s">
        <v>243</v>
      </c>
      <c r="L9" s="174">
        <v>4</v>
      </c>
      <c r="M9" s="175" t="s">
        <v>7</v>
      </c>
      <c r="N9" s="176">
        <v>1</v>
      </c>
      <c r="P9" s="30">
        <v>4</v>
      </c>
      <c r="Q9" s="109" t="s">
        <v>218</v>
      </c>
      <c r="R9" s="37"/>
      <c r="S9" s="39">
        <f>COUNTIF($C$6:$E$24,Q9)</f>
        <v>5</v>
      </c>
      <c r="T9" s="139"/>
      <c r="U9" s="155">
        <f t="shared" si="0"/>
        <v>3</v>
      </c>
      <c r="V9" s="156">
        <f t="shared" si="1"/>
        <v>2</v>
      </c>
      <c r="W9" s="155">
        <f t="shared" si="2"/>
        <v>0</v>
      </c>
      <c r="X9" s="152" t="str">
        <f t="shared" si="4"/>
        <v>Sokol Zlín-Prštné 2</v>
      </c>
      <c r="Y9" s="152" t="str">
        <f t="shared" si="5"/>
        <v/>
      </c>
      <c r="Z9" s="153" t="str">
        <f t="shared" si="3"/>
        <v/>
      </c>
      <c r="AA9" s="153" t="str">
        <f t="shared" si="6"/>
        <v>Sokol Šitbořice</v>
      </c>
      <c r="AB9" s="43"/>
      <c r="AC9" t="s">
        <v>125</v>
      </c>
      <c r="AD9" t="s">
        <v>106</v>
      </c>
      <c r="AE9" t="s">
        <v>127</v>
      </c>
    </row>
    <row r="10" spans="1:33" ht="32.1" customHeight="1">
      <c r="A10" s="73" t="s">
        <v>11</v>
      </c>
      <c r="B10" s="34"/>
      <c r="C10" s="301" t="str">
        <f>Q9</f>
        <v>Šitbořice/Nezamyslice</v>
      </c>
      <c r="D10" s="72" t="s">
        <v>7</v>
      </c>
      <c r="E10" s="303" t="str">
        <f>Q10</f>
        <v>Lokomotiva Liberec</v>
      </c>
      <c r="F10" s="320" t="s">
        <v>235</v>
      </c>
      <c r="G10" s="106" t="s">
        <v>18</v>
      </c>
      <c r="H10" s="106" t="s">
        <v>24</v>
      </c>
      <c r="I10" s="116" t="s">
        <v>245</v>
      </c>
      <c r="J10" s="118" t="s">
        <v>7</v>
      </c>
      <c r="K10" s="117" t="s">
        <v>243</v>
      </c>
      <c r="L10" s="174">
        <v>5</v>
      </c>
      <c r="M10" s="175" t="s">
        <v>7</v>
      </c>
      <c r="N10" s="176">
        <v>0</v>
      </c>
      <c r="P10" s="30">
        <v>5</v>
      </c>
      <c r="Q10" s="109" t="s">
        <v>170</v>
      </c>
      <c r="R10" s="37"/>
      <c r="S10" s="39">
        <f>COUNTIF($C$6:$E$24,Q10)</f>
        <v>5</v>
      </c>
      <c r="T10" s="139"/>
      <c r="U10" s="155">
        <f t="shared" si="0"/>
        <v>2</v>
      </c>
      <c r="V10" s="156">
        <f t="shared" si="1"/>
        <v>1</v>
      </c>
      <c r="W10" s="155">
        <f t="shared" si="2"/>
        <v>2</v>
      </c>
      <c r="X10" s="152" t="str">
        <f t="shared" si="4"/>
        <v>Šitbořice/Nezamyslice</v>
      </c>
      <c r="Y10" s="152" t="str">
        <f t="shared" si="5"/>
        <v/>
      </c>
      <c r="Z10" s="153" t="str">
        <f t="shared" si="3"/>
        <v/>
      </c>
      <c r="AA10" s="153" t="str">
        <f t="shared" si="6"/>
        <v>Lokomotiva Liberec</v>
      </c>
      <c r="AB10" s="43"/>
      <c r="AC10" t="s">
        <v>3</v>
      </c>
      <c r="AD10" s="49" t="s">
        <v>51</v>
      </c>
      <c r="AE10" s="49" t="s">
        <v>108</v>
      </c>
    </row>
    <row r="11" spans="1:33" ht="32.1" customHeight="1">
      <c r="A11" s="73" t="s">
        <v>12</v>
      </c>
      <c r="B11" s="34"/>
      <c r="C11" s="301" t="str">
        <f>Q6</f>
        <v>Sokol Zlín-Prštné 1</v>
      </c>
      <c r="D11" s="72" t="s">
        <v>7</v>
      </c>
      <c r="E11" s="303" t="str">
        <f>Q8</f>
        <v>Sokol Šitbořice</v>
      </c>
      <c r="F11" s="320" t="s">
        <v>237</v>
      </c>
      <c r="G11" s="106" t="s">
        <v>18</v>
      </c>
      <c r="H11" s="106" t="s">
        <v>24</v>
      </c>
      <c r="I11" s="116" t="s">
        <v>245</v>
      </c>
      <c r="J11" s="118" t="s">
        <v>7</v>
      </c>
      <c r="K11" s="117" t="s">
        <v>243</v>
      </c>
      <c r="L11" s="174">
        <v>6</v>
      </c>
      <c r="M11" s="175" t="s">
        <v>7</v>
      </c>
      <c r="N11" s="176">
        <v>0</v>
      </c>
      <c r="R11" s="37"/>
      <c r="T11" s="139"/>
      <c r="U11" s="155">
        <f t="shared" si="0"/>
        <v>0</v>
      </c>
      <c r="V11" s="156">
        <f t="shared" si="1"/>
        <v>-1</v>
      </c>
      <c r="W11" s="155">
        <f t="shared" si="2"/>
        <v>1</v>
      </c>
      <c r="X11" s="152" t="str">
        <f t="shared" si="4"/>
        <v>Sokol Zlín-Prštné 1</v>
      </c>
      <c r="Y11" s="152" t="str">
        <f t="shared" si="5"/>
        <v/>
      </c>
      <c r="Z11" s="153" t="str">
        <f t="shared" si="3"/>
        <v/>
      </c>
      <c r="AA11" s="153" t="str">
        <f t="shared" si="6"/>
        <v>Sokol Šitbořice</v>
      </c>
      <c r="AB11" s="43"/>
      <c r="AC11" t="s">
        <v>21</v>
      </c>
      <c r="AD11" t="s">
        <v>109</v>
      </c>
      <c r="AE11" t="s">
        <v>110</v>
      </c>
    </row>
    <row r="12" spans="1:33" ht="32.1" customHeight="1">
      <c r="A12" s="73" t="s">
        <v>15</v>
      </c>
      <c r="B12" s="34"/>
      <c r="C12" s="301" t="str">
        <f>Q7</f>
        <v>Sokol Zlín-Prštné 2</v>
      </c>
      <c r="D12" s="72" t="s">
        <v>7</v>
      </c>
      <c r="E12" s="303" t="str">
        <f>Q9</f>
        <v>Šitbořice/Nezamyslice</v>
      </c>
      <c r="F12" s="320" t="s">
        <v>236</v>
      </c>
      <c r="G12" s="106" t="s">
        <v>18</v>
      </c>
      <c r="H12" s="106" t="s">
        <v>24</v>
      </c>
      <c r="I12" s="116" t="s">
        <v>246</v>
      </c>
      <c r="J12" s="118" t="s">
        <v>7</v>
      </c>
      <c r="K12" s="117" t="s">
        <v>246</v>
      </c>
      <c r="L12" s="174">
        <v>1</v>
      </c>
      <c r="M12" s="175" t="s">
        <v>7</v>
      </c>
      <c r="N12" s="176">
        <v>2</v>
      </c>
      <c r="P12" s="299" t="s">
        <v>214</v>
      </c>
      <c r="X12" s="152" t="str">
        <f t="shared" si="4"/>
        <v/>
      </c>
      <c r="Y12" s="152" t="str">
        <f t="shared" si="5"/>
        <v>Šitbořice/Nezamyslice</v>
      </c>
      <c r="Z12" s="153" t="str">
        <f t="shared" si="3"/>
        <v>Sokol Zlín-Prštné 2</v>
      </c>
      <c r="AA12" s="153" t="str">
        <f t="shared" si="6"/>
        <v/>
      </c>
      <c r="AB12" s="43"/>
      <c r="AC12" t="s">
        <v>22</v>
      </c>
      <c r="AD12" t="s">
        <v>111</v>
      </c>
      <c r="AE12" t="s">
        <v>105</v>
      </c>
    </row>
    <row r="13" spans="1:33" ht="32.1" customHeight="1">
      <c r="A13" s="73" t="s">
        <v>121</v>
      </c>
      <c r="B13" s="34"/>
      <c r="C13" s="301" t="str">
        <f>Q8</f>
        <v>Sokol Šitbořice</v>
      </c>
      <c r="D13" s="72" t="s">
        <v>7</v>
      </c>
      <c r="E13" s="303" t="str">
        <f>Q10</f>
        <v>Lokomotiva Liberec</v>
      </c>
      <c r="F13" s="320" t="s">
        <v>235</v>
      </c>
      <c r="G13" s="106" t="s">
        <v>18</v>
      </c>
      <c r="H13" s="106" t="s">
        <v>24</v>
      </c>
      <c r="I13" s="116" t="s">
        <v>243</v>
      </c>
      <c r="J13" s="118" t="s">
        <v>7</v>
      </c>
      <c r="K13" s="117" t="s">
        <v>245</v>
      </c>
      <c r="L13" s="174">
        <v>0</v>
      </c>
      <c r="M13" s="175" t="s">
        <v>7</v>
      </c>
      <c r="N13" s="176">
        <v>4</v>
      </c>
      <c r="X13" s="152" t="str">
        <f t="shared" si="4"/>
        <v/>
      </c>
      <c r="Y13" s="152" t="str">
        <f t="shared" si="5"/>
        <v>Lokomotiva Liberec</v>
      </c>
      <c r="Z13" s="153" t="str">
        <f t="shared" si="3"/>
        <v>Sokol Šitbořice</v>
      </c>
      <c r="AA13" s="153" t="str">
        <f t="shared" si="6"/>
        <v/>
      </c>
      <c r="AB13" s="43"/>
      <c r="AC13" t="s">
        <v>23</v>
      </c>
      <c r="AD13" t="s">
        <v>112</v>
      </c>
      <c r="AE13" t="s">
        <v>107</v>
      </c>
    </row>
    <row r="14" spans="1:33" ht="32.1" customHeight="1">
      <c r="A14" s="73" t="s">
        <v>122</v>
      </c>
      <c r="B14" s="34"/>
      <c r="C14" s="301" t="str">
        <f>Q6</f>
        <v>Sokol Zlín-Prštné 1</v>
      </c>
      <c r="D14" s="72" t="s">
        <v>7</v>
      </c>
      <c r="E14" s="303" t="str">
        <f>Q9</f>
        <v>Šitbořice/Nezamyslice</v>
      </c>
      <c r="F14" s="320" t="s">
        <v>237</v>
      </c>
      <c r="G14" s="106" t="s">
        <v>18</v>
      </c>
      <c r="H14" s="106" t="s">
        <v>24</v>
      </c>
      <c r="I14" s="116" t="s">
        <v>242</v>
      </c>
      <c r="J14" s="118" t="s">
        <v>7</v>
      </c>
      <c r="K14" s="117" t="s">
        <v>242</v>
      </c>
      <c r="L14" s="174">
        <v>3</v>
      </c>
      <c r="M14" s="175" t="s">
        <v>7</v>
      </c>
      <c r="N14" s="176">
        <v>3</v>
      </c>
      <c r="X14" s="152" t="str">
        <f t="shared" si="4"/>
        <v/>
      </c>
      <c r="Y14" s="152" t="str">
        <f t="shared" si="5"/>
        <v/>
      </c>
      <c r="Z14" s="153" t="str">
        <f t="shared" si="3"/>
        <v/>
      </c>
      <c r="AA14" s="153" t="str">
        <f t="shared" si="6"/>
        <v/>
      </c>
      <c r="AB14" s="43"/>
      <c r="AC14" s="48" t="s">
        <v>16</v>
      </c>
      <c r="AD14" s="48" t="s">
        <v>113</v>
      </c>
      <c r="AE14" t="s">
        <v>114</v>
      </c>
    </row>
    <row r="15" spans="1:33" ht="32.1" customHeight="1">
      <c r="A15" s="73" t="s">
        <v>123</v>
      </c>
      <c r="B15" s="34"/>
      <c r="C15" s="301" t="str">
        <f>Q7</f>
        <v>Sokol Zlín-Prštné 2</v>
      </c>
      <c r="D15" s="72" t="s">
        <v>7</v>
      </c>
      <c r="E15" s="303" t="str">
        <f>Q10</f>
        <v>Lokomotiva Liberec</v>
      </c>
      <c r="F15" s="320" t="s">
        <v>236</v>
      </c>
      <c r="G15" s="106" t="s">
        <v>18</v>
      </c>
      <c r="H15" s="106" t="s">
        <v>24</v>
      </c>
      <c r="I15" s="116" t="s">
        <v>243</v>
      </c>
      <c r="J15" s="118" t="s">
        <v>7</v>
      </c>
      <c r="K15" s="117" t="s">
        <v>246</v>
      </c>
      <c r="L15" s="174">
        <v>1</v>
      </c>
      <c r="M15" s="175" t="s">
        <v>7</v>
      </c>
      <c r="N15" s="176">
        <v>2</v>
      </c>
      <c r="X15" s="152" t="str">
        <f t="shared" si="4"/>
        <v/>
      </c>
      <c r="Y15" s="152" t="str">
        <f t="shared" si="5"/>
        <v>Lokomotiva Liberec</v>
      </c>
      <c r="Z15" s="153" t="str">
        <f t="shared" si="3"/>
        <v>Sokol Zlín-Prštné 2</v>
      </c>
      <c r="AA15" s="153" t="str">
        <f t="shared" si="6"/>
        <v/>
      </c>
      <c r="AB15" s="43"/>
      <c r="AC15" s="48" t="s">
        <v>17</v>
      </c>
      <c r="AD15" s="49" t="s">
        <v>36</v>
      </c>
      <c r="AE15" s="49" t="s">
        <v>86</v>
      </c>
    </row>
    <row r="16" spans="1:33" ht="32.1" customHeight="1">
      <c r="F16" s="177"/>
      <c r="G16" s="177"/>
      <c r="H16" s="177"/>
      <c r="I16" s="177"/>
      <c r="J16" s="177"/>
      <c r="K16" s="177"/>
      <c r="L16" s="177"/>
      <c r="M16" s="177"/>
      <c r="N16" s="177"/>
      <c r="X16" s="152" t="str">
        <f t="shared" si="4"/>
        <v/>
      </c>
      <c r="Y16" s="152" t="str">
        <f t="shared" si="5"/>
        <v/>
      </c>
      <c r="Z16" s="153" t="str">
        <f t="shared" si="3"/>
        <v/>
      </c>
      <c r="AA16" s="153" t="str">
        <f t="shared" si="6"/>
        <v/>
      </c>
      <c r="AB16" s="43"/>
      <c r="AC16" s="48" t="s">
        <v>27</v>
      </c>
      <c r="AD16" s="48" t="s">
        <v>115</v>
      </c>
      <c r="AE16" s="48" t="s">
        <v>116</v>
      </c>
      <c r="AF16" s="48"/>
      <c r="AG16" s="48"/>
    </row>
    <row r="17" spans="1:32" s="218" customFormat="1" ht="13.05" customHeight="1">
      <c r="A17" s="212"/>
      <c r="B17" s="213"/>
      <c r="C17" s="214" t="str">
        <f>INDEX(AC17:AE17,$P$2)</f>
        <v>Utkání o 3. a 4. místo</v>
      </c>
      <c r="D17" s="215"/>
      <c r="E17" s="214"/>
      <c r="F17" s="428"/>
      <c r="G17" s="238"/>
      <c r="H17" s="238"/>
      <c r="I17" s="239"/>
      <c r="J17" s="239"/>
      <c r="K17" s="239"/>
      <c r="L17" s="239"/>
      <c r="M17" s="239"/>
      <c r="N17" s="239"/>
      <c r="P17" s="219"/>
      <c r="Q17" s="219"/>
      <c r="AB17" s="43"/>
      <c r="AC17" s="240" t="s">
        <v>184</v>
      </c>
      <c r="AD17" s="240" t="s">
        <v>185</v>
      </c>
      <c r="AE17" s="240" t="s">
        <v>186</v>
      </c>
      <c r="AF17" s="240"/>
    </row>
    <row r="18" spans="1:32" s="226" customFormat="1" ht="37.950000000000003" customHeight="1">
      <c r="A18" s="221" t="s">
        <v>194</v>
      </c>
      <c r="B18" s="222" t="s">
        <v>187</v>
      </c>
      <c r="C18" s="223" t="str">
        <f>'Protokol 5 Teams'!B42</f>
        <v>Lokomotiva Liberec</v>
      </c>
      <c r="D18" s="224" t="s">
        <v>7</v>
      </c>
      <c r="E18" s="223" t="str">
        <f>'Protokol 5 Teams'!D42</f>
        <v>Sokol Zlín-Prštné 2</v>
      </c>
      <c r="F18" s="320" t="s">
        <v>236</v>
      </c>
      <c r="G18" s="225" t="s">
        <v>18</v>
      </c>
      <c r="H18" s="225" t="s">
        <v>24</v>
      </c>
      <c r="I18" s="174">
        <v>1</v>
      </c>
      <c r="J18" s="175" t="s">
        <v>7</v>
      </c>
      <c r="K18" s="176">
        <v>1</v>
      </c>
      <c r="L18" s="174">
        <v>1</v>
      </c>
      <c r="M18" s="175" t="s">
        <v>7</v>
      </c>
      <c r="N18" s="176">
        <v>4</v>
      </c>
      <c r="P18" s="227" t="s">
        <v>188</v>
      </c>
      <c r="Q18" s="228"/>
      <c r="AB18" s="43"/>
      <c r="AC18" s="241"/>
      <c r="AD18" s="241"/>
      <c r="AE18" s="241"/>
      <c r="AF18" s="241"/>
    </row>
    <row r="19" spans="1:32" s="226" customFormat="1" ht="16.95" customHeight="1">
      <c r="A19" s="229"/>
      <c r="B19" s="230"/>
      <c r="C19" s="231"/>
      <c r="D19" s="232"/>
      <c r="E19" s="233"/>
      <c r="F19" s="234" t="str">
        <f>INDEX(AC19:AE19,$P$2)</f>
        <v>4M údery a konečný výsledek</v>
      </c>
      <c r="G19" s="225"/>
      <c r="H19" s="225"/>
      <c r="I19" s="235"/>
      <c r="J19" s="175" t="s">
        <v>7</v>
      </c>
      <c r="K19" s="176"/>
      <c r="L19" s="324" t="str">
        <f>IF(I19="","",IF(I19&gt;K19,L18+1,L18))</f>
        <v/>
      </c>
      <c r="M19" s="325" t="s">
        <v>7</v>
      </c>
      <c r="N19" s="326" t="str">
        <f>IF(K19="","",IF(K19&gt;I19,N18+1,N18))</f>
        <v/>
      </c>
      <c r="P19" s="236" t="s">
        <v>189</v>
      </c>
      <c r="Q19" s="228"/>
      <c r="AB19" s="43"/>
      <c r="AC19" s="242" t="s">
        <v>196</v>
      </c>
      <c r="AD19" s="220" t="s">
        <v>197</v>
      </c>
      <c r="AE19" s="220" t="s">
        <v>198</v>
      </c>
    </row>
    <row r="20" spans="1:32" s="218" customFormat="1" ht="13.05" customHeight="1">
      <c r="A20" s="212"/>
      <c r="B20" s="213"/>
      <c r="C20" s="214" t="str">
        <f>INDEX(AC20:AE20,$P$2)</f>
        <v>Utkání o 1. a 2. místo</v>
      </c>
      <c r="D20" s="215"/>
      <c r="E20" s="214"/>
      <c r="F20" s="216"/>
      <c r="G20" s="217"/>
      <c r="H20" s="217"/>
      <c r="I20" s="175"/>
      <c r="J20" s="175"/>
      <c r="K20" s="175"/>
      <c r="L20" s="175"/>
      <c r="M20" s="175"/>
      <c r="N20" s="175"/>
      <c r="P20" s="219"/>
      <c r="Q20" s="219"/>
      <c r="AB20" s="43"/>
      <c r="AC20" s="240" t="s">
        <v>190</v>
      </c>
      <c r="AD20" s="220" t="s">
        <v>193</v>
      </c>
      <c r="AE20" s="240" t="s">
        <v>191</v>
      </c>
      <c r="AF20" s="240"/>
    </row>
    <row r="21" spans="1:32" s="226" customFormat="1" ht="37.950000000000003" customHeight="1">
      <c r="A21" s="221" t="s">
        <v>195</v>
      </c>
      <c r="B21" s="237" t="s">
        <v>192</v>
      </c>
      <c r="C21" s="223" t="str">
        <f>'Protokol 5 Teams'!B46</f>
        <v>Sokol Zlín-Prštné 1</v>
      </c>
      <c r="D21" s="224" t="s">
        <v>7</v>
      </c>
      <c r="E21" s="223" t="str">
        <f>'Protokol 5 Teams'!D46</f>
        <v>Šitbořice/Nezamyslice</v>
      </c>
      <c r="F21" s="320" t="s">
        <v>241</v>
      </c>
      <c r="G21" s="225" t="s">
        <v>18</v>
      </c>
      <c r="H21" s="225" t="s">
        <v>24</v>
      </c>
      <c r="I21" s="174">
        <v>1</v>
      </c>
      <c r="J21" s="175" t="s">
        <v>7</v>
      </c>
      <c r="K21" s="176">
        <v>1</v>
      </c>
      <c r="L21" s="174">
        <v>3</v>
      </c>
      <c r="M21" s="175" t="s">
        <v>7</v>
      </c>
      <c r="N21" s="176">
        <v>2</v>
      </c>
      <c r="P21" s="227" t="s">
        <v>188</v>
      </c>
      <c r="Q21" s="228"/>
      <c r="AB21" s="43"/>
    </row>
    <row r="22" spans="1:32" s="226" customFormat="1" ht="16.95" customHeight="1">
      <c r="A22" s="229"/>
      <c r="B22" s="230"/>
      <c r="C22" s="231"/>
      <c r="D22" s="232"/>
      <c r="E22" s="233"/>
      <c r="F22" s="234" t="str">
        <f>INDEX(AC19:AE19,$P$2)</f>
        <v>4M údery a konečný výsledek</v>
      </c>
      <c r="G22" s="225"/>
      <c r="H22" s="225"/>
      <c r="I22" s="235"/>
      <c r="J22" s="175" t="s">
        <v>7</v>
      </c>
      <c r="K22" s="176"/>
      <c r="L22" s="324" t="str">
        <f>IF(I22="","",IF(I22&gt;K22,L21+1,L21))</f>
        <v/>
      </c>
      <c r="M22" s="325" t="s">
        <v>7</v>
      </c>
      <c r="N22" s="326" t="str">
        <f>IF(K22="","",IF(K22&gt;I22,N21+1,N21))</f>
        <v/>
      </c>
      <c r="P22" s="236" t="s">
        <v>189</v>
      </c>
      <c r="Q22" s="228"/>
    </row>
    <row r="23" spans="1:32" ht="16.95" customHeight="1">
      <c r="I23"/>
      <c r="J23"/>
      <c r="K23"/>
      <c r="L23"/>
      <c r="M23"/>
      <c r="N23"/>
      <c r="X23" s="152" t="str">
        <f t="shared" si="4"/>
        <v/>
      </c>
      <c r="Y23" s="152" t="str">
        <f t="shared" si="5"/>
        <v/>
      </c>
      <c r="Z23" s="153" t="str">
        <f t="shared" si="3"/>
        <v/>
      </c>
      <c r="AA23" s="153" t="str">
        <f t="shared" si="6"/>
        <v/>
      </c>
    </row>
    <row r="24" spans="1:32" ht="16.05" customHeight="1">
      <c r="E24" s="294" t="s">
        <v>4</v>
      </c>
      <c r="F24" s="295" t="s">
        <v>209</v>
      </c>
      <c r="K24" s="317" t="s">
        <v>209</v>
      </c>
      <c r="X24" s="152" t="str">
        <f>IF(I24&gt;K24,C24,"")</f>
        <v/>
      </c>
      <c r="Y24" s="152" t="str">
        <f>IF(I24&lt;K24,E24,"")</f>
        <v>Rozhodčí:</v>
      </c>
      <c r="Z24" s="153">
        <f>IF(I24&lt;K24,C24,"")</f>
        <v>0</v>
      </c>
      <c r="AA24" s="153" t="str">
        <f>IF(I24&gt;K24,E24,"")</f>
        <v/>
      </c>
    </row>
    <row r="25" spans="1:32" ht="16.05" customHeight="1">
      <c r="E25" s="292" t="s">
        <v>235</v>
      </c>
      <c r="F25" s="293">
        <f>COUNTIF($F$6:$F$21,E25)</f>
        <v>3</v>
      </c>
      <c r="I25" s="126" t="s">
        <v>230</v>
      </c>
      <c r="K25" s="202">
        <f>F25+F26</f>
        <v>7</v>
      </c>
      <c r="L25" s="107" t="s">
        <v>212</v>
      </c>
      <c r="X25" s="152"/>
      <c r="Y25" s="152"/>
      <c r="Z25" s="153"/>
      <c r="AA25" s="153"/>
      <c r="AB25" s="43"/>
      <c r="AC25" s="48"/>
      <c r="AD25" s="48"/>
      <c r="AE25" s="48"/>
    </row>
    <row r="26" spans="1:32" ht="16.05" customHeight="1">
      <c r="E26" s="292" t="s">
        <v>236</v>
      </c>
      <c r="F26" s="293">
        <f t="shared" ref="F26:F28" si="7">COUNTIF($F$6:$F$21,E26)</f>
        <v>4</v>
      </c>
      <c r="I26" s="126" t="s">
        <v>231</v>
      </c>
      <c r="K26" s="202">
        <f>F25+F27+F28</f>
        <v>8</v>
      </c>
      <c r="L26" s="107" t="s">
        <v>234</v>
      </c>
      <c r="X26" s="152"/>
      <c r="Y26" s="152"/>
      <c r="Z26" s="153"/>
      <c r="AA26" s="153"/>
      <c r="AB26" s="43"/>
      <c r="AC26" s="48"/>
      <c r="AD26" s="48"/>
      <c r="AE26" s="48"/>
    </row>
    <row r="27" spans="1:32" ht="16.05" customHeight="1">
      <c r="E27" s="292" t="s">
        <v>237</v>
      </c>
      <c r="F27" s="293">
        <f t="shared" si="7"/>
        <v>4</v>
      </c>
      <c r="I27" s="126" t="s">
        <v>232</v>
      </c>
      <c r="K27" s="202">
        <f>F26+F27</f>
        <v>8</v>
      </c>
      <c r="L27" s="107" t="s">
        <v>233</v>
      </c>
      <c r="X27" s="152"/>
      <c r="Y27" s="152"/>
      <c r="Z27" s="153"/>
      <c r="AA27" s="153"/>
      <c r="AB27" s="43"/>
      <c r="AC27" s="48"/>
      <c r="AD27" s="48"/>
      <c r="AE27" s="48"/>
    </row>
    <row r="28" spans="1:32" ht="16.95" customHeight="1">
      <c r="E28" s="292" t="s">
        <v>241</v>
      </c>
      <c r="F28" s="293">
        <f t="shared" si="7"/>
        <v>1</v>
      </c>
      <c r="I28" s="126"/>
      <c r="K28" s="202"/>
      <c r="X28" s="152"/>
      <c r="Y28" s="152"/>
      <c r="Z28" s="153"/>
      <c r="AA28" s="153"/>
      <c r="AB28" s="43"/>
      <c r="AC28" s="48"/>
      <c r="AD28" s="48"/>
      <c r="AE28" s="48"/>
    </row>
    <row r="29" spans="1:32" ht="13.05" customHeight="1">
      <c r="E29" s="296" t="s">
        <v>210</v>
      </c>
      <c r="F29" s="297">
        <f>SUM(F25:F28)</f>
        <v>12</v>
      </c>
      <c r="H29" s="318" t="s">
        <v>210</v>
      </c>
      <c r="K29" s="319">
        <f>SUM(K25:K28)</f>
        <v>23</v>
      </c>
      <c r="X29" s="152" t="str">
        <f>IF(I29&gt;K29,C29,"")</f>
        <v/>
      </c>
      <c r="Y29" s="152" t="str">
        <f>IF(I29&lt;K29,E29,"")</f>
        <v>Celkem</v>
      </c>
      <c r="Z29" s="153">
        <f>IF(I29&lt;K29,C29,"")</f>
        <v>0</v>
      </c>
      <c r="AA29" s="153" t="str">
        <f>IF(I29&gt;K29,E29,"")</f>
        <v/>
      </c>
      <c r="AB29" s="43"/>
      <c r="AC29" s="48" t="s">
        <v>25</v>
      </c>
      <c r="AD29" s="48" t="s">
        <v>117</v>
      </c>
      <c r="AE29" s="48" t="s">
        <v>118</v>
      </c>
    </row>
    <row r="30" spans="1:32" ht="32.1" customHeight="1">
      <c r="I30"/>
      <c r="J30"/>
      <c r="K30"/>
      <c r="L30"/>
      <c r="M30"/>
      <c r="N30"/>
      <c r="X30" s="152" t="str">
        <f>IF(L30&gt;N30,C30,"")</f>
        <v/>
      </c>
      <c r="Y30" s="152" t="str">
        <f>IF(L30&lt;N30,E30,"")</f>
        <v/>
      </c>
      <c r="Z30" s="153" t="str">
        <f>IF(L30&lt;N30,C30,"")</f>
        <v/>
      </c>
      <c r="AA30" s="153" t="str">
        <f>IF(L30&gt;N30,E30,"")</f>
        <v/>
      </c>
      <c r="AB30" s="43"/>
      <c r="AC30" s="48" t="s">
        <v>28</v>
      </c>
      <c r="AD30" s="48" t="s">
        <v>119</v>
      </c>
      <c r="AE30" s="48" t="s">
        <v>120</v>
      </c>
    </row>
    <row r="31" spans="1:32" ht="16.95" customHeight="1">
      <c r="I31"/>
      <c r="J31"/>
      <c r="K31"/>
      <c r="L31"/>
      <c r="M31"/>
      <c r="N31"/>
      <c r="X31" s="152" t="str">
        <f>IF(L31&gt;N31,C31,"")</f>
        <v/>
      </c>
      <c r="Y31" s="152" t="str">
        <f>IF(L31&lt;N31,E31,"")</f>
        <v/>
      </c>
      <c r="Z31" s="153" t="str">
        <f>IF(L31&lt;N31,C31,"")</f>
        <v/>
      </c>
      <c r="AA31" s="153" t="str">
        <f>IF(L31&gt;N31,E31,"")</f>
        <v/>
      </c>
    </row>
    <row r="32" spans="1:32">
      <c r="I32"/>
      <c r="J32"/>
      <c r="K32"/>
      <c r="L32"/>
      <c r="M32"/>
      <c r="N32"/>
    </row>
    <row r="33" spans="9:14">
      <c r="I33"/>
      <c r="J33"/>
      <c r="K33"/>
      <c r="L33"/>
      <c r="M33"/>
      <c r="N33"/>
    </row>
    <row r="34" spans="9:14">
      <c r="I34"/>
      <c r="J34"/>
      <c r="K34"/>
      <c r="L34"/>
      <c r="M34"/>
      <c r="N34"/>
    </row>
    <row r="35" spans="9:14">
      <c r="I35"/>
      <c r="J35"/>
      <c r="K35"/>
      <c r="L35"/>
      <c r="M35"/>
      <c r="N35"/>
    </row>
    <row r="36" spans="9:14">
      <c r="I36"/>
      <c r="J36"/>
      <c r="K36"/>
      <c r="L36"/>
      <c r="M36"/>
      <c r="N36"/>
    </row>
    <row r="37" spans="9:14">
      <c r="I37"/>
      <c r="J37"/>
      <c r="K37"/>
      <c r="L37"/>
      <c r="M37"/>
      <c r="N37"/>
    </row>
    <row r="38" spans="9:14">
      <c r="I38"/>
      <c r="J38"/>
      <c r="K38"/>
      <c r="L38"/>
      <c r="M38"/>
      <c r="N38"/>
    </row>
    <row r="39" spans="9:14">
      <c r="I39"/>
      <c r="J39"/>
      <c r="K39"/>
      <c r="L39"/>
      <c r="M39"/>
      <c r="N39"/>
    </row>
    <row r="40" spans="9:14">
      <c r="I40"/>
      <c r="J40"/>
      <c r="K40"/>
      <c r="L40"/>
      <c r="M40"/>
      <c r="N40"/>
    </row>
    <row r="41" spans="9:14">
      <c r="I41"/>
      <c r="J41"/>
      <c r="K41"/>
      <c r="L41"/>
      <c r="M41"/>
      <c r="N41"/>
    </row>
    <row r="42" spans="9:14">
      <c r="I42"/>
      <c r="J42"/>
      <c r="K42"/>
      <c r="L42"/>
      <c r="M42"/>
      <c r="N42"/>
    </row>
  </sheetData>
  <mergeCells count="12"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19" right="0.27559055118110237" top="0.39370078740157483" bottom="0.55118110236220474" header="0.23622047244094491" footer="0.31496062992125984"/>
  <pageSetup paperSize="9" scale="90" orientation="portrait" r:id="rId1"/>
  <headerFooter alignWithMargins="0">
    <oddFooter>&amp;L&amp;F&amp;C&amp;P&amp;R&amp;A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5 Teams</vt:lpstr>
      <vt:lpstr>Pořadí zápasů 5 Teams_Spielplan</vt:lpstr>
      <vt:lpstr>'Pořadí zápasů 5 Teams_Spielplan'!Názvy_tisku</vt:lpstr>
      <vt:lpstr>'Pořadí zápasů 5 Teams_Spielplan'!Oblast_tisku</vt:lpstr>
      <vt:lpstr>'Protokol 5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2026-04-17T11:33:19Z</cp:lastPrinted>
  <dcterms:created xsi:type="dcterms:W3CDTF">1998-10-05T17:57:10Z</dcterms:created>
  <dcterms:modified xsi:type="dcterms:W3CDTF">2026-04-19T08:04:19Z</dcterms:modified>
  <cp:category>ELITE Turnaj o II.LIGU</cp:category>
</cp:coreProperties>
</file>