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360" yWindow="96" windowWidth="11316" windowHeight="5436" tabRatio="840"/>
  </bookViews>
  <sheets>
    <sheet name="Protokol 10 Teams_2x5" sheetId="50" r:id="rId1"/>
    <sheet name="Pořadí 10 Teams_2x5_Spielplan" sheetId="35" r:id="rId2"/>
  </sheets>
  <definedNames>
    <definedName name="_xlnm._FilterDatabase" localSheetId="1" hidden="1">'Pořadí 10 Teams_2x5_Spielplan'!$B$3:$E$25</definedName>
    <definedName name="_xlnm.Print_Titles" localSheetId="1">'Pořadí 10 Teams_2x5_Spielplan'!$2:$5</definedName>
    <definedName name="_xlnm.Print_Area" localSheetId="1">'Pořadí 10 Teams_2x5_Spielplan'!$A:$N</definedName>
    <definedName name="_xlnm.Print_Area" localSheetId="0">'Protokol 10 Teams_2x5'!$A$1:$AH$106</definedName>
  </definedNames>
  <calcPr calcId="152511"/>
  <fileRecoveryPr autoRecover="0"/>
</workbook>
</file>

<file path=xl/calcChain.xml><?xml version="1.0" encoding="utf-8"?>
<calcChain xmlns="http://schemas.openxmlformats.org/spreadsheetml/2006/main">
  <c r="AH41" i="50" l="1"/>
  <c r="F55" i="35"/>
  <c r="AG77" i="50" l="1"/>
  <c r="AE77" i="50"/>
  <c r="AG73" i="50"/>
  <c r="AE73" i="50"/>
  <c r="AG69" i="50"/>
  <c r="AE69" i="50"/>
  <c r="AG65" i="50"/>
  <c r="AE65" i="50"/>
  <c r="AG61" i="50"/>
  <c r="AE61" i="50"/>
  <c r="AG57" i="50"/>
  <c r="AE57" i="50"/>
  <c r="AG53" i="50"/>
  <c r="AE53" i="50"/>
  <c r="AJ5" i="50" l="1"/>
  <c r="B106" i="50"/>
  <c r="A10" i="50"/>
  <c r="C6" i="35" l="1"/>
  <c r="W12" i="50"/>
  <c r="N32" i="35"/>
  <c r="L32" i="35"/>
  <c r="N35" i="35"/>
  <c r="AG58" i="50" s="1"/>
  <c r="AZ57" i="50" s="1"/>
  <c r="AX58" i="50" s="1"/>
  <c r="L35" i="35"/>
  <c r="N38" i="35"/>
  <c r="AG62" i="50" s="1"/>
  <c r="AZ61" i="50" s="1"/>
  <c r="AX62" i="50" s="1"/>
  <c r="L38" i="35"/>
  <c r="AE62" i="50" s="1"/>
  <c r="AX61" i="50" s="1"/>
  <c r="N41" i="35"/>
  <c r="AG66" i="50" s="1"/>
  <c r="AZ65" i="50" s="1"/>
  <c r="AX66" i="50" s="1"/>
  <c r="L41" i="35"/>
  <c r="AE66" i="50" s="1"/>
  <c r="AX65" i="50" s="1"/>
  <c r="N44" i="35"/>
  <c r="AG70" i="50" s="1"/>
  <c r="AZ69" i="50" s="1"/>
  <c r="AX70" i="50" s="1"/>
  <c r="L44" i="35"/>
  <c r="AE70" i="50" s="1"/>
  <c r="AX69" i="50" s="1"/>
  <c r="N47" i="35"/>
  <c r="AG74" i="50" s="1"/>
  <c r="AZ73" i="50" s="1"/>
  <c r="AX74" i="50" s="1"/>
  <c r="L47" i="35"/>
  <c r="AE74" i="50" s="1"/>
  <c r="AX73" i="50" s="1"/>
  <c r="N50" i="35"/>
  <c r="AG78" i="50" s="1"/>
  <c r="AZ77" i="50" s="1"/>
  <c r="AX78" i="50" s="1"/>
  <c r="L50" i="35"/>
  <c r="AE78" i="50" s="1"/>
  <c r="AX77" i="50" s="1"/>
  <c r="AD78" i="50"/>
  <c r="AD77" i="50"/>
  <c r="AA78" i="50"/>
  <c r="AA77" i="50"/>
  <c r="AW73" i="50"/>
  <c r="AD74" i="50"/>
  <c r="AA74" i="50"/>
  <c r="AD73" i="50"/>
  <c r="AA73" i="50"/>
  <c r="AU69" i="50"/>
  <c r="AD70" i="50"/>
  <c r="AD69" i="50"/>
  <c r="AA70" i="50"/>
  <c r="AA69" i="50"/>
  <c r="AD66" i="50"/>
  <c r="AA66" i="50"/>
  <c r="AD65" i="50"/>
  <c r="AA65" i="50"/>
  <c r="AU62" i="50"/>
  <c r="AD62" i="50"/>
  <c r="AA62" i="50"/>
  <c r="AD61" i="50"/>
  <c r="AA61" i="50"/>
  <c r="AD58" i="50"/>
  <c r="AA58" i="50"/>
  <c r="AU57" i="50"/>
  <c r="AD57" i="50"/>
  <c r="AA57" i="50"/>
  <c r="AD54" i="50"/>
  <c r="AA54" i="50"/>
  <c r="AD53" i="50"/>
  <c r="AA53" i="50"/>
  <c r="AE76" i="50"/>
  <c r="AA76" i="50"/>
  <c r="AE72" i="50"/>
  <c r="AA72" i="50"/>
  <c r="AE68" i="50"/>
  <c r="AA68" i="50"/>
  <c r="AE64" i="50"/>
  <c r="AA64" i="50"/>
  <c r="AE60" i="50"/>
  <c r="AA60" i="50"/>
  <c r="AE56" i="50"/>
  <c r="AA56" i="50"/>
  <c r="F39" i="50"/>
  <c r="E40" i="50" s="1"/>
  <c r="N77" i="50"/>
  <c r="N73" i="50"/>
  <c r="N69" i="50"/>
  <c r="N65" i="50"/>
  <c r="N61" i="50"/>
  <c r="N57" i="50"/>
  <c r="N53" i="50"/>
  <c r="AW77" i="50"/>
  <c r="AU70" i="50"/>
  <c r="AU61" i="50"/>
  <c r="O42" i="50"/>
  <c r="N43" i="50" s="1"/>
  <c r="AG82" i="50"/>
  <c r="W82" i="50"/>
  <c r="R82" i="50"/>
  <c r="F82" i="50"/>
  <c r="B82" i="50"/>
  <c r="AE82" i="50"/>
  <c r="AA82" i="50"/>
  <c r="N82" i="50"/>
  <c r="J82" i="50"/>
  <c r="B76" i="50"/>
  <c r="N76" i="50"/>
  <c r="S76" i="50"/>
  <c r="B72" i="50"/>
  <c r="B68" i="50"/>
  <c r="B64" i="50"/>
  <c r="B60" i="50"/>
  <c r="B56" i="50"/>
  <c r="B52" i="50"/>
  <c r="N78" i="50"/>
  <c r="N74" i="50"/>
  <c r="S72" i="50"/>
  <c r="N72" i="50"/>
  <c r="N70" i="50"/>
  <c r="S68" i="50"/>
  <c r="N68" i="50"/>
  <c r="N66" i="50"/>
  <c r="S64" i="50"/>
  <c r="N64" i="50"/>
  <c r="N62" i="50"/>
  <c r="S60" i="50"/>
  <c r="N60" i="50"/>
  <c r="N58" i="50"/>
  <c r="S56" i="50"/>
  <c r="N56" i="50"/>
  <c r="N54" i="50"/>
  <c r="AE52" i="50"/>
  <c r="AA52" i="50"/>
  <c r="S52" i="50"/>
  <c r="N52" i="50"/>
  <c r="AR43" i="50"/>
  <c r="AQ43" i="50"/>
  <c r="AP43" i="50"/>
  <c r="AO43" i="50"/>
  <c r="AR42" i="50"/>
  <c r="AQ42" i="50"/>
  <c r="AP42" i="50"/>
  <c r="AO42" i="50"/>
  <c r="AR41" i="50"/>
  <c r="AQ41" i="50"/>
  <c r="AP41" i="50"/>
  <c r="AO41" i="50"/>
  <c r="AR40" i="50"/>
  <c r="AQ40" i="50"/>
  <c r="AP40" i="50"/>
  <c r="AO40" i="50"/>
  <c r="AR39" i="50"/>
  <c r="AQ39" i="50"/>
  <c r="AP39" i="50"/>
  <c r="AO39" i="50"/>
  <c r="AR32" i="50"/>
  <c r="AQ32" i="50"/>
  <c r="AP32" i="50"/>
  <c r="AO32" i="50"/>
  <c r="AR31" i="50"/>
  <c r="AQ31" i="50"/>
  <c r="AP31" i="50"/>
  <c r="AO31" i="50"/>
  <c r="AR30" i="50"/>
  <c r="AQ30" i="50"/>
  <c r="AP30" i="50"/>
  <c r="AO30" i="50"/>
  <c r="AR29" i="50"/>
  <c r="AQ29" i="50"/>
  <c r="AP29" i="50"/>
  <c r="AO29" i="50"/>
  <c r="AR28" i="50"/>
  <c r="AQ28" i="50"/>
  <c r="AP28" i="50"/>
  <c r="AO28" i="50"/>
  <c r="E10" i="35"/>
  <c r="O38" i="50"/>
  <c r="L38" i="50"/>
  <c r="I38" i="50"/>
  <c r="F38" i="50"/>
  <c r="C38" i="50"/>
  <c r="O27" i="50"/>
  <c r="L27" i="50"/>
  <c r="I27" i="50"/>
  <c r="F27" i="50"/>
  <c r="C27" i="50"/>
  <c r="L39" i="50"/>
  <c r="E42" i="50" s="1"/>
  <c r="I39" i="50"/>
  <c r="L28" i="50"/>
  <c r="E31" i="50" s="1"/>
  <c r="I28" i="50"/>
  <c r="E30" i="50" s="1"/>
  <c r="P2" i="35"/>
  <c r="G4" i="35" s="1"/>
  <c r="N39" i="50"/>
  <c r="C42" i="50" s="1"/>
  <c r="K39" i="50"/>
  <c r="C41" i="50" s="1"/>
  <c r="K28" i="50"/>
  <c r="C30" i="50" s="1"/>
  <c r="N28" i="50"/>
  <c r="C31" i="50" s="1"/>
  <c r="H28" i="50"/>
  <c r="C29" i="50" s="1"/>
  <c r="F28" i="50"/>
  <c r="Q39" i="50"/>
  <c r="C43" i="50" s="1"/>
  <c r="O39" i="50"/>
  <c r="E43" i="50" s="1"/>
  <c r="H39" i="50"/>
  <c r="C40" i="50" s="1"/>
  <c r="Q40" i="50"/>
  <c r="F43" i="50" s="1"/>
  <c r="O40" i="50"/>
  <c r="H43" i="50" s="1"/>
  <c r="Q29" i="50"/>
  <c r="F32" i="50" s="1"/>
  <c r="O29" i="50"/>
  <c r="H32" i="50" s="1"/>
  <c r="Q41" i="50"/>
  <c r="I43" i="50" s="1"/>
  <c r="O41" i="50"/>
  <c r="K43" i="50" s="1"/>
  <c r="Q30" i="50"/>
  <c r="I32" i="50" s="1"/>
  <c r="O30" i="50"/>
  <c r="K32" i="50" s="1"/>
  <c r="N41" i="50"/>
  <c r="I42" i="50" s="1"/>
  <c r="L41" i="50"/>
  <c r="K42" i="50" s="1"/>
  <c r="N30" i="50"/>
  <c r="I31" i="50" s="1"/>
  <c r="L30" i="50"/>
  <c r="K31" i="50" s="1"/>
  <c r="N40" i="50"/>
  <c r="F42" i="50" s="1"/>
  <c r="L40" i="50"/>
  <c r="H42" i="50" s="1"/>
  <c r="N29" i="50"/>
  <c r="F31" i="50" s="1"/>
  <c r="L29" i="50"/>
  <c r="H31" i="50" s="1"/>
  <c r="Q42" i="50"/>
  <c r="L43" i="50" s="1"/>
  <c r="Q31" i="50"/>
  <c r="L32" i="50" s="1"/>
  <c r="O31" i="50"/>
  <c r="N32" i="50" s="1"/>
  <c r="K40" i="50"/>
  <c r="F41" i="50" s="1"/>
  <c r="I40" i="50"/>
  <c r="H41" i="50" s="1"/>
  <c r="K29" i="50"/>
  <c r="F30" i="50" s="1"/>
  <c r="I29" i="50"/>
  <c r="H30" i="50" s="1"/>
  <c r="O28" i="50"/>
  <c r="E32" i="50" s="1"/>
  <c r="Q28" i="50"/>
  <c r="C32" i="50" s="1"/>
  <c r="B23" i="50"/>
  <c r="B43" i="50" s="1"/>
  <c r="B22" i="50"/>
  <c r="AN42" i="50" s="1"/>
  <c r="B21" i="50"/>
  <c r="AN41" i="50" s="1"/>
  <c r="B20" i="50"/>
  <c r="AN40" i="50" s="1"/>
  <c r="B19" i="50"/>
  <c r="AN39" i="50" s="1"/>
  <c r="B17" i="50"/>
  <c r="AN32" i="50" s="1"/>
  <c r="B16" i="50"/>
  <c r="B15" i="50"/>
  <c r="B30" i="50" s="1"/>
  <c r="B14" i="50"/>
  <c r="AN29" i="50" s="1"/>
  <c r="B13" i="50"/>
  <c r="AN28" i="50" s="1"/>
  <c r="Q7" i="50"/>
  <c r="U96" i="50"/>
  <c r="AJ2" i="50"/>
  <c r="O5" i="50"/>
  <c r="A50" i="50"/>
  <c r="C25" i="35"/>
  <c r="C24" i="35"/>
  <c r="E23" i="35"/>
  <c r="E22" i="35"/>
  <c r="C23" i="35"/>
  <c r="C22" i="35"/>
  <c r="C21" i="35"/>
  <c r="C20" i="35"/>
  <c r="C19" i="35"/>
  <c r="C18" i="35"/>
  <c r="E17" i="35"/>
  <c r="E16" i="35"/>
  <c r="C17" i="35"/>
  <c r="C16" i="35"/>
  <c r="E15" i="35"/>
  <c r="E14" i="35"/>
  <c r="C15" i="35"/>
  <c r="C14" i="35"/>
  <c r="E13" i="35"/>
  <c r="E12" i="35"/>
  <c r="C13" i="35"/>
  <c r="C12" i="35"/>
  <c r="E11" i="35"/>
  <c r="C11" i="35"/>
  <c r="C10" i="35"/>
  <c r="E9" i="35"/>
  <c r="E8" i="35"/>
  <c r="C9" i="35"/>
  <c r="C8" i="35"/>
  <c r="E19" i="35"/>
  <c r="E18" i="35"/>
  <c r="A36" i="50"/>
  <c r="A80" i="50"/>
  <c r="A82" i="50"/>
  <c r="Q106" i="50"/>
  <c r="A101" i="50"/>
  <c r="A94" i="50"/>
  <c r="B98" i="50"/>
  <c r="B97" i="50"/>
  <c r="B96" i="50"/>
  <c r="A25" i="50"/>
  <c r="AG12" i="50"/>
  <c r="AH27" i="50"/>
  <c r="AH38" i="50"/>
  <c r="AC45" i="50"/>
  <c r="AC34" i="50"/>
  <c r="AE38" i="50"/>
  <c r="AE27" i="50"/>
  <c r="AD38" i="50"/>
  <c r="AD27" i="50"/>
  <c r="B38" i="50"/>
  <c r="B27" i="50"/>
  <c r="R12" i="50"/>
  <c r="F12" i="50"/>
  <c r="B12" i="50"/>
  <c r="B7" i="50"/>
  <c r="B6" i="50"/>
  <c r="B5" i="50"/>
  <c r="B4" i="50"/>
  <c r="A2" i="50"/>
  <c r="BG2" i="50"/>
  <c r="E25" i="35"/>
  <c r="E24" i="35"/>
  <c r="E21" i="35"/>
  <c r="E20" i="35"/>
  <c r="E7" i="35"/>
  <c r="C7" i="35"/>
  <c r="E6" i="35"/>
  <c r="AW58" i="50"/>
  <c r="AW69" i="50"/>
  <c r="AU78" i="50"/>
  <c r="AU74" i="50"/>
  <c r="AW61" i="50"/>
  <c r="AW62" i="50"/>
  <c r="AW70" i="50"/>
  <c r="AU73" i="50"/>
  <c r="AW74" i="50"/>
  <c r="AU54" i="50"/>
  <c r="AW53" i="50"/>
  <c r="AU77" i="50"/>
  <c r="AW78" i="50"/>
  <c r="AW65" i="50"/>
  <c r="AU66" i="50"/>
  <c r="B41" i="50" l="1"/>
  <c r="AN43" i="50"/>
  <c r="B32" i="50"/>
  <c r="B39" i="50"/>
  <c r="E4" i="35"/>
  <c r="F47" i="35"/>
  <c r="F41" i="35"/>
  <c r="P4" i="35"/>
  <c r="A2" i="35"/>
  <c r="F38" i="35"/>
  <c r="C30" i="35"/>
  <c r="C45" i="35"/>
  <c r="U4" i="35"/>
  <c r="C42" i="35"/>
  <c r="F44" i="35"/>
  <c r="P5" i="35"/>
  <c r="L4" i="35"/>
  <c r="A29" i="35"/>
  <c r="G5" i="35"/>
  <c r="B40" i="50"/>
  <c r="U7" i="35"/>
  <c r="B28" i="50"/>
  <c r="B42" i="50"/>
  <c r="AN30" i="50"/>
  <c r="BA78" i="50"/>
  <c r="BA70" i="50"/>
  <c r="AE58" i="50"/>
  <c r="AX57" i="50" s="1"/>
  <c r="AG54" i="50"/>
  <c r="AZ53" i="50" s="1"/>
  <c r="AX54" i="50" s="1"/>
  <c r="AE54" i="50"/>
  <c r="AX53" i="50" s="1"/>
  <c r="BA77" i="50"/>
  <c r="BA74" i="50"/>
  <c r="BA73" i="50"/>
  <c r="BA61" i="50"/>
  <c r="BA69" i="50"/>
  <c r="BA62" i="50"/>
  <c r="AE43" i="50"/>
  <c r="AE40" i="50"/>
  <c r="AG32" i="50"/>
  <c r="AE29" i="50"/>
  <c r="AD30" i="50"/>
  <c r="AG42" i="50"/>
  <c r="AE30" i="50"/>
  <c r="AG30" i="50"/>
  <c r="AD31" i="50"/>
  <c r="AD28" i="50"/>
  <c r="AD40" i="50"/>
  <c r="AD43" i="50"/>
  <c r="AE41" i="50"/>
  <c r="AG29" i="50"/>
  <c r="AD42" i="50"/>
  <c r="AG43" i="50"/>
  <c r="AE32" i="50"/>
  <c r="E29" i="50"/>
  <c r="AD29" i="50" s="1"/>
  <c r="AE42" i="50"/>
  <c r="AE31" i="50"/>
  <c r="AG28" i="50"/>
  <c r="AG31" i="50"/>
  <c r="AG39" i="50"/>
  <c r="AE28" i="50"/>
  <c r="H5" i="35"/>
  <c r="F4" i="35"/>
  <c r="C33" i="35"/>
  <c r="F35" i="35"/>
  <c r="C48" i="35"/>
  <c r="A4" i="35"/>
  <c r="B4" i="35"/>
  <c r="Q2" i="35"/>
  <c r="F50" i="35"/>
  <c r="I4" i="35"/>
  <c r="C39" i="35"/>
  <c r="C36" i="35"/>
  <c r="C4" i="35"/>
  <c r="F32" i="35"/>
  <c r="BB73" i="50"/>
  <c r="AZ74" i="50"/>
  <c r="BB74" i="50" s="1"/>
  <c r="AD32" i="50"/>
  <c r="AU53" i="50"/>
  <c r="AW54" i="50"/>
  <c r="BA54" i="50" s="1"/>
  <c r="AW57" i="50"/>
  <c r="BA57" i="50" s="1"/>
  <c r="AU58" i="50"/>
  <c r="BA58" i="50" s="1"/>
  <c r="AW66" i="50"/>
  <c r="BA66" i="50" s="1"/>
  <c r="AU65" i="50"/>
  <c r="BA65" i="50" s="1"/>
  <c r="BB65" i="50"/>
  <c r="AZ66" i="50"/>
  <c r="BB66" i="50" s="1"/>
  <c r="B29" i="50"/>
  <c r="B31" i="50"/>
  <c r="AN31" i="50"/>
  <c r="E41" i="50"/>
  <c r="AD41" i="50" s="1"/>
  <c r="AG41" i="50"/>
  <c r="AD39" i="50"/>
  <c r="AE39" i="50"/>
  <c r="AG40" i="50"/>
  <c r="AZ78" i="50"/>
  <c r="BB78" i="50" s="1"/>
  <c r="BC78" i="50" s="1"/>
  <c r="BB77" i="50"/>
  <c r="V10" i="35"/>
  <c r="V8" i="35"/>
  <c r="V11" i="35"/>
  <c r="U8" i="35"/>
  <c r="V7" i="35"/>
  <c r="U9" i="35"/>
  <c r="U10" i="35"/>
  <c r="V9" i="35"/>
  <c r="AZ70" i="50"/>
  <c r="BB70" i="50" s="1"/>
  <c r="BC70" i="50" s="1"/>
  <c r="BB69" i="50"/>
  <c r="BB61" i="50"/>
  <c r="BC61" i="50" s="1"/>
  <c r="AZ62" i="50"/>
  <c r="BB62" i="50" s="1"/>
  <c r="U11" i="35"/>
  <c r="AI42" i="50" l="1"/>
  <c r="AH32" i="50"/>
  <c r="AH31" i="50"/>
  <c r="AM31" i="50" s="1"/>
  <c r="BC74" i="50"/>
  <c r="AI40" i="50"/>
  <c r="AG34" i="50"/>
  <c r="AI32" i="50"/>
  <c r="AI30" i="50"/>
  <c r="AE34" i="50"/>
  <c r="AM32" i="50"/>
  <c r="AI29" i="50"/>
  <c r="AI43" i="50"/>
  <c r="AI31" i="50"/>
  <c r="BC66" i="50"/>
  <c r="BC69" i="50"/>
  <c r="BC77" i="50"/>
  <c r="AZ58" i="50"/>
  <c r="BB58" i="50" s="1"/>
  <c r="BC58" i="50" s="1"/>
  <c r="BB57" i="50"/>
  <c r="BC57" i="50" s="1"/>
  <c r="AZ54" i="50"/>
  <c r="BB54" i="50" s="1"/>
  <c r="BC54" i="50" s="1"/>
  <c r="BB53" i="50"/>
  <c r="BC73" i="50"/>
  <c r="BC62" i="50"/>
  <c r="AI41" i="50"/>
  <c r="AH43" i="50"/>
  <c r="AM43" i="50" s="1"/>
  <c r="AM41" i="50"/>
  <c r="AH39" i="50"/>
  <c r="AM39" i="50" s="1"/>
  <c r="AH42" i="50"/>
  <c r="AM42" i="50" s="1"/>
  <c r="AH40" i="50"/>
  <c r="AM40" i="50" s="1"/>
  <c r="AE45" i="50"/>
  <c r="AI39" i="50"/>
  <c r="AD45" i="50"/>
  <c r="AH30" i="50"/>
  <c r="AM30" i="50" s="1"/>
  <c r="AH28" i="50"/>
  <c r="AM28" i="50" s="1"/>
  <c r="AD34" i="50"/>
  <c r="AG45" i="50"/>
  <c r="AI28" i="50"/>
  <c r="AH29" i="50"/>
  <c r="AM29" i="50" s="1"/>
  <c r="F53" i="35"/>
  <c r="F54" i="35"/>
  <c r="F56" i="35"/>
  <c r="BC65" i="50"/>
  <c r="BA53" i="50"/>
  <c r="F57" i="35" l="1"/>
  <c r="D65" i="50"/>
  <c r="AT66" i="50" s="1"/>
  <c r="BD66" i="50" s="1"/>
  <c r="AM66" i="50" s="1"/>
  <c r="AI45" i="50"/>
  <c r="AI34" i="50"/>
  <c r="AR66" i="50"/>
  <c r="BC53" i="50"/>
  <c r="BD53" i="50" s="1"/>
  <c r="AM53" i="50" s="1"/>
  <c r="AQ58" i="50"/>
  <c r="AR62" i="50"/>
  <c r="AR54" i="50"/>
  <c r="AP70" i="50"/>
  <c r="AO62" i="50"/>
  <c r="AQ66" i="50"/>
  <c r="AO66" i="50"/>
  <c r="AO54" i="50"/>
  <c r="AQ54" i="50"/>
  <c r="AP58" i="50"/>
  <c r="AP54" i="50"/>
  <c r="D61" i="50"/>
  <c r="AT62" i="50" s="1"/>
  <c r="BD62" i="50" s="1"/>
  <c r="AM62" i="50" s="1"/>
  <c r="AP62" i="50"/>
  <c r="AO70" i="50"/>
  <c r="AQ62" i="50"/>
  <c r="AQ70" i="50"/>
  <c r="D57" i="50"/>
  <c r="AT58" i="50" s="1"/>
  <c r="BD58" i="50" s="1"/>
  <c r="AM58" i="50" s="1"/>
  <c r="AO58" i="50"/>
  <c r="AP61" i="50"/>
  <c r="B57" i="50"/>
  <c r="B53" i="50"/>
  <c r="AR53" i="50"/>
  <c r="AR61" i="50"/>
  <c r="B61" i="50"/>
  <c r="AO61" i="50"/>
  <c r="AO57" i="50"/>
  <c r="AQ65" i="50"/>
  <c r="AP65" i="50"/>
  <c r="AQ53" i="50"/>
  <c r="AR69" i="50"/>
  <c r="AO53" i="50"/>
  <c r="AP57" i="50"/>
  <c r="AQ69" i="50"/>
  <c r="AR57" i="50"/>
  <c r="AP69" i="50"/>
  <c r="AR65" i="50"/>
  <c r="B69" i="50"/>
  <c r="AP53" i="50"/>
  <c r="AO69" i="50"/>
  <c r="AO65" i="50"/>
  <c r="B65" i="50"/>
  <c r="AQ61" i="50"/>
  <c r="AQ57" i="50"/>
  <c r="D69" i="50"/>
  <c r="AN70" i="50" s="1"/>
  <c r="D53" i="50"/>
  <c r="AN54" i="50" s="1"/>
  <c r="AR58" i="50"/>
  <c r="AP66" i="50"/>
  <c r="AR70" i="50"/>
  <c r="E40" i="35" l="1"/>
  <c r="AN66" i="50"/>
  <c r="AN58" i="50"/>
  <c r="BD54" i="50"/>
  <c r="AM54" i="50" s="1"/>
  <c r="W91" i="50" s="1"/>
  <c r="AT54" i="50"/>
  <c r="E34" i="35"/>
  <c r="E31" i="35"/>
  <c r="C34" i="35"/>
  <c r="AN57" i="50"/>
  <c r="AT57" i="50"/>
  <c r="BD57" i="50" s="1"/>
  <c r="AM57" i="50" s="1"/>
  <c r="AN62" i="50"/>
  <c r="AT70" i="50"/>
  <c r="BD70" i="50" s="1"/>
  <c r="AM70" i="50" s="1"/>
  <c r="AT61" i="50"/>
  <c r="BD61" i="50" s="1"/>
  <c r="AM61" i="50" s="1"/>
  <c r="C37" i="35"/>
  <c r="AN61" i="50"/>
  <c r="E37" i="35"/>
  <c r="E43" i="35"/>
  <c r="AT65" i="50"/>
  <c r="BD65" i="50" s="1"/>
  <c r="AM65" i="50" s="1"/>
  <c r="C40" i="35"/>
  <c r="AN65" i="50"/>
  <c r="C43" i="35"/>
  <c r="AN69" i="50"/>
  <c r="AT69" i="50"/>
  <c r="BD69" i="50" s="1"/>
  <c r="AM69" i="50" s="1"/>
  <c r="C31" i="35"/>
  <c r="AT53" i="50"/>
  <c r="AN53" i="50"/>
  <c r="F92" i="50" l="1"/>
  <c r="R92" i="50"/>
  <c r="AG92" i="50"/>
  <c r="B92" i="50"/>
  <c r="W92" i="50"/>
  <c r="R91" i="50"/>
  <c r="AG91" i="50"/>
  <c r="B91" i="50"/>
  <c r="F91" i="50"/>
  <c r="AG87" i="50"/>
  <c r="F88" i="50"/>
  <c r="AG88" i="50"/>
  <c r="B87" i="50"/>
  <c r="R88" i="50"/>
  <c r="F87" i="50"/>
  <c r="R87" i="50"/>
  <c r="B88" i="50"/>
  <c r="W88" i="50"/>
  <c r="W87" i="50"/>
  <c r="D73" i="50"/>
  <c r="AP78" i="50"/>
  <c r="AO74" i="50"/>
  <c r="AQ78" i="50"/>
  <c r="AO78" i="50"/>
  <c r="AP74" i="50"/>
  <c r="D77" i="50"/>
  <c r="AR74" i="50"/>
  <c r="AQ74" i="50"/>
  <c r="AR78" i="50"/>
  <c r="AQ73" i="50"/>
  <c r="B73" i="50"/>
  <c r="B77" i="50"/>
  <c r="AP73" i="50"/>
  <c r="AR73" i="50"/>
  <c r="AP77" i="50"/>
  <c r="AO73" i="50"/>
  <c r="AO77" i="50"/>
  <c r="AR77" i="50"/>
  <c r="AQ77" i="50"/>
  <c r="AG90" i="50"/>
  <c r="W89" i="50"/>
  <c r="F89" i="50"/>
  <c r="R89" i="50"/>
  <c r="R90" i="50"/>
  <c r="B89" i="50"/>
  <c r="AG89" i="50"/>
  <c r="W90" i="50"/>
  <c r="F90" i="50"/>
  <c r="B90" i="50"/>
  <c r="AT77" i="50" l="1"/>
  <c r="BD77" i="50" s="1"/>
  <c r="AM77" i="50" s="1"/>
  <c r="C49" i="35"/>
  <c r="AN77" i="50"/>
  <c r="E46" i="35"/>
  <c r="AT74" i="50"/>
  <c r="BD74" i="50" s="1"/>
  <c r="AM74" i="50" s="1"/>
  <c r="AN74" i="50"/>
  <c r="AT73" i="50"/>
  <c r="BD73" i="50" s="1"/>
  <c r="AM73" i="50" s="1"/>
  <c r="AN73" i="50"/>
  <c r="C46" i="35"/>
  <c r="E49" i="35"/>
  <c r="AT78" i="50"/>
  <c r="BD78" i="50" s="1"/>
  <c r="AM78" i="50" s="1"/>
  <c r="AN78" i="50"/>
  <c r="F83" i="50" l="1"/>
  <c r="B86" i="50"/>
  <c r="B85" i="50"/>
  <c r="R85" i="50"/>
  <c r="F85" i="50"/>
  <c r="W86" i="50"/>
  <c r="AG85" i="50"/>
  <c r="W85" i="50"/>
  <c r="AG86" i="50"/>
  <c r="R86" i="50"/>
  <c r="F86" i="50"/>
  <c r="W83" i="50"/>
  <c r="B83" i="50"/>
  <c r="R84" i="50"/>
  <c r="F84" i="50"/>
  <c r="R83" i="50"/>
  <c r="AG84" i="50"/>
  <c r="AG83" i="50"/>
  <c r="W84" i="50"/>
  <c r="B84" i="50"/>
</calcChain>
</file>

<file path=xl/sharedStrings.xml><?xml version="1.0" encoding="utf-8"?>
<sst xmlns="http://schemas.openxmlformats.org/spreadsheetml/2006/main" count="811" uniqueCount="310">
  <si>
    <t>v</t>
  </si>
  <si>
    <t>Startující</t>
  </si>
  <si>
    <t>Rozhodčí</t>
  </si>
  <si>
    <t>Rozhodčí: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</si>
  <si>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</si>
  <si>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</si>
  <si>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</si>
  <si>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</si>
  <si>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</si>
  <si>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</si>
  <si>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</si>
  <si>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</si>
  <si>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</si>
  <si>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</si>
  <si>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</si>
  <si>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8.</t>
  </si>
  <si>
    <t>9.</t>
  </si>
  <si>
    <t>12.</t>
  </si>
  <si>
    <t>10.</t>
  </si>
  <si>
    <t>11.</t>
  </si>
  <si>
    <t>Poločas</t>
  </si>
  <si>
    <t>Výsledek</t>
  </si>
  <si>
    <t xml:space="preserve">PROTOKOL - ČESKÝ SVAZ CYKLISTIKY  </t>
  </si>
  <si>
    <t>Konečné pořadí</t>
  </si>
  <si>
    <t>SKUPINA "A"</t>
  </si>
  <si>
    <t>SKUPINA "B"</t>
  </si>
  <si>
    <t>1.družstvo</t>
  </si>
  <si>
    <t>2.družstvo</t>
  </si>
  <si>
    <t>Branky poločasů</t>
  </si>
  <si>
    <t>1.druž.</t>
  </si>
  <si>
    <t>2.druž.</t>
  </si>
  <si>
    <t>------------</t>
  </si>
  <si>
    <t>-----------</t>
  </si>
  <si>
    <t>13.</t>
  </si>
  <si>
    <t>14.</t>
  </si>
  <si>
    <t>15.</t>
  </si>
  <si>
    <t>16.</t>
  </si>
  <si>
    <t>17.</t>
  </si>
  <si>
    <t>18.</t>
  </si>
  <si>
    <t>19.</t>
  </si>
  <si>
    <t>20.</t>
  </si>
  <si>
    <t>MIMO OBLAST TISKU</t>
  </si>
  <si>
    <t>Jména</t>
  </si>
  <si>
    <t>Počet</t>
  </si>
  <si>
    <t>Branky</t>
  </si>
  <si>
    <t>Rozdíl</t>
  </si>
  <si>
    <t>hrací plocha:</t>
  </si>
  <si>
    <t>doba hry:</t>
  </si>
  <si>
    <t>o soutěži v kolové:</t>
  </si>
  <si>
    <t>konané dne:</t>
  </si>
  <si>
    <t>tělovýchovnou jednotou - klubem:</t>
  </si>
  <si>
    <t>A</t>
  </si>
  <si>
    <t>B</t>
  </si>
  <si>
    <t>kontrola</t>
  </si>
  <si>
    <t>Výsledky - základní skupina "A"</t>
  </si>
  <si>
    <t>Výsledky - základní skupina "B"</t>
  </si>
  <si>
    <t>21.</t>
  </si>
  <si>
    <t>22.</t>
  </si>
  <si>
    <t>23.</t>
  </si>
  <si>
    <t>24.</t>
  </si>
  <si>
    <t>25.</t>
  </si>
  <si>
    <t>Buňky obsahují vzorce</t>
  </si>
  <si>
    <t>Diff.</t>
  </si>
  <si>
    <t>Bitte die Nr. der gewünschten $AJ$2 eingeben (CZ=1,D=2,EN=3)</t>
  </si>
  <si>
    <t>Please for language enter number (CZ=1,D=2,EN=3)</t>
  </si>
  <si>
    <t>DANEBEN DRUCKFLÄCHE</t>
  </si>
  <si>
    <t>EXCEPT AREA PRINTING</t>
  </si>
  <si>
    <t>ERGEBNISSE - TSCHECHISCH VERBAND RADSPORT</t>
  </si>
  <si>
    <t xml:space="preserve">CZECH CYCLING FEDERATION 
</t>
  </si>
  <si>
    <t>Veranstaltung:</t>
  </si>
  <si>
    <t>Tourney-cycle-ball:</t>
  </si>
  <si>
    <t>Datum:</t>
  </si>
  <si>
    <t>Date:</t>
  </si>
  <si>
    <t>in</t>
  </si>
  <si>
    <t>Halle - Sportklub:</t>
  </si>
  <si>
    <t>Sports club:</t>
  </si>
  <si>
    <t>Spielfläche:</t>
  </si>
  <si>
    <t>Size of the field:</t>
  </si>
  <si>
    <t>Spiel Zeit:</t>
  </si>
  <si>
    <t xml:space="preserve">Match times: </t>
  </si>
  <si>
    <t>Teilnahme</t>
  </si>
  <si>
    <t>Team members</t>
  </si>
  <si>
    <t>Verein</t>
  </si>
  <si>
    <t>Sports club</t>
  </si>
  <si>
    <t>Spieler</t>
  </si>
  <si>
    <t>Name</t>
  </si>
  <si>
    <t>Kommissäre</t>
  </si>
  <si>
    <t>Commissaire:</t>
  </si>
  <si>
    <t>Hlavní rozhodčí:</t>
  </si>
  <si>
    <t>Chief-Kommissär:</t>
  </si>
  <si>
    <t>Chief commissaire:</t>
  </si>
  <si>
    <t>Časoměřič:</t>
  </si>
  <si>
    <t>Zeitnehmer:</t>
  </si>
  <si>
    <t>Zapisovatel:</t>
  </si>
  <si>
    <t>Schriftführer:</t>
  </si>
  <si>
    <t>Secretary:</t>
  </si>
  <si>
    <t>Kommissäre:</t>
  </si>
  <si>
    <t>Resultate</t>
  </si>
  <si>
    <t>Results</t>
  </si>
  <si>
    <t>Punk.</t>
  </si>
  <si>
    <t>Tore</t>
  </si>
  <si>
    <t>Score</t>
  </si>
  <si>
    <t>Rang</t>
  </si>
  <si>
    <t>Andere</t>
  </si>
  <si>
    <t>Various</t>
  </si>
  <si>
    <t>Kontrolle</t>
  </si>
  <si>
    <t>Control</t>
  </si>
  <si>
    <t>Za pořadatele:</t>
  </si>
  <si>
    <t>Veranstalter:</t>
  </si>
  <si>
    <t>Organizer:</t>
  </si>
  <si>
    <t>Endstand</t>
  </si>
  <si>
    <t>Final rankings</t>
  </si>
  <si>
    <t>Poř</t>
  </si>
  <si>
    <t>R.</t>
  </si>
  <si>
    <t>Namen</t>
  </si>
  <si>
    <t>Names</t>
  </si>
  <si>
    <t>Sp.</t>
  </si>
  <si>
    <t>Count</t>
  </si>
  <si>
    <t>Vítěz.</t>
  </si>
  <si>
    <t>S</t>
  </si>
  <si>
    <t>Win</t>
  </si>
  <si>
    <t>Rem.</t>
  </si>
  <si>
    <t>U</t>
  </si>
  <si>
    <t>Draw</t>
  </si>
  <si>
    <t>Prohry</t>
  </si>
  <si>
    <t>N</t>
  </si>
  <si>
    <t>Loss</t>
  </si>
  <si>
    <t>CZ</t>
  </si>
  <si>
    <t>DE</t>
  </si>
  <si>
    <t>EN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</si>
  <si>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</si>
  <si>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</si>
  <si>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</si>
  <si>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Č.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</si>
  <si>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</si>
  <si>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</si>
  <si>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</si>
  <si>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</si>
  <si>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</si>
  <si>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</si>
  <si>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</si>
  <si>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</si>
  <si>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</si>
  <si>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</si>
  <si>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</si>
  <si>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Halbzeit</t>
  </si>
  <si>
    <t>Half-times</t>
  </si>
  <si>
    <t>Results - basic group "A"</t>
  </si>
  <si>
    <t>Results - basic group "B"</t>
  </si>
  <si>
    <t>Range</t>
  </si>
  <si>
    <t>Time-keeper:</t>
  </si>
  <si>
    <t>Utkání o umístění, semifinále a finále</t>
  </si>
  <si>
    <t>1.Semifinále 1.A - 2.B</t>
  </si>
  <si>
    <t>2.Semifinále 2.A - 1.B</t>
  </si>
  <si>
    <t>Utkání o 3. a 4. místo</t>
  </si>
  <si>
    <t>Match um Platzierung, Semifinale und Finale</t>
  </si>
  <si>
    <t xml:space="preserve">Team match about range, semifinal and final
</t>
  </si>
  <si>
    <t>Poit.</t>
  </si>
  <si>
    <t>Pořadí zápasů - 2 x 5 družstev</t>
  </si>
  <si>
    <t>Sequence matchs - 2 x 5 teams</t>
  </si>
  <si>
    <t>Sk.</t>
  </si>
  <si>
    <t>Gr.</t>
  </si>
  <si>
    <t xml:space="preserve">Match um 3. bis 4. Platz 
</t>
  </si>
  <si>
    <t>Match about 3. - 4.range</t>
  </si>
  <si>
    <t>1.Semifinal 1.A - 2.B</t>
  </si>
  <si>
    <t>2.Semifinal 2.A - 1.B</t>
  </si>
  <si>
    <t>2.Semifinale 2.A - 1.B</t>
  </si>
  <si>
    <t>1.Semifinale 1.A - 2.B</t>
  </si>
  <si>
    <t>Spielplan - 2 x 5 Teams</t>
  </si>
  <si>
    <t>"A"</t>
  </si>
  <si>
    <t>"B"</t>
  </si>
  <si>
    <t>Družstvo</t>
  </si>
  <si>
    <t>Resultate - Grundgruppe "A"</t>
  </si>
  <si>
    <t>Resultate - Grundgruppe "B"</t>
  </si>
  <si>
    <t>x</t>
  </si>
  <si>
    <t>m</t>
  </si>
  <si>
    <t>minut</t>
  </si>
  <si>
    <t>Zkontrolujte sestavy</t>
  </si>
  <si>
    <t>Utkání o 5. a 6. místo  3.A - 3.B</t>
  </si>
  <si>
    <t xml:space="preserve">Match um 5. bis 6. Platz  3.A - 3.B
</t>
  </si>
  <si>
    <t>Match about 5. - 6.range  3.A - 3.B</t>
  </si>
  <si>
    <t>2.SMF</t>
  </si>
  <si>
    <t>1.SMF</t>
  </si>
  <si>
    <t>Utkání o 9. a 10. místo  5.A - 5.B</t>
  </si>
  <si>
    <t xml:space="preserve">Match um 9. bis 10. Platz  5.A - 5.B
</t>
  </si>
  <si>
    <t>Match about 9. - 10.range  5.A - 5.B</t>
  </si>
  <si>
    <t>Utkání o 7. a 8. místo  4.A - 4.B</t>
  </si>
  <si>
    <t xml:space="preserve">Match um 7. bis 8. Platz  4.A - 4.B
</t>
  </si>
  <si>
    <t>Match about 7. - 8.range  4.A - 4.B</t>
  </si>
  <si>
    <t>26.</t>
  </si>
  <si>
    <t>27.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</si>
  <si>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</si>
  <si>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</si>
  <si>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</si>
  <si>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</si>
  <si>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</si>
  <si>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</si>
  <si>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</si>
  <si>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</si>
  <si>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</si>
  <si>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</si>
  <si>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9.až 10.</t>
  </si>
  <si>
    <t>7.až 8.</t>
  </si>
  <si>
    <t>5.až 6.</t>
  </si>
  <si>
    <t>3.až 4.</t>
  </si>
  <si>
    <t>1.až 2.</t>
  </si>
  <si>
    <t>M</t>
  </si>
  <si>
    <t>Jméno</t>
  </si>
  <si>
    <t>Těl. spolek - klub</t>
  </si>
  <si>
    <t>výsledky se načtou z listu "Pořadí…"</t>
  </si>
  <si>
    <t>NEBO vyplňujte pouze pravou horní část tabulky</t>
  </si>
  <si>
    <r>
      <t>ČERVENÁ BUŇKA JE PŘI ROVNOSTI BOD</t>
    </r>
    <r>
      <rPr>
        <b/>
        <sz val="10"/>
        <rFont val="Arial"/>
        <family val="2"/>
        <charset val="238"/>
      </rPr>
      <t>Ů</t>
    </r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</si>
  <si>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</si>
  <si>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nebo podle výsledku vzájemného utkání</t>
  </si>
  <si>
    <t>NEBO za vzorec v buňce u horšího vepište +1 (+2, +3 atd.)</t>
  </si>
  <si>
    <t>Pořadí se vyplní, pokud není chyba v tabulkách</t>
  </si>
  <si>
    <t>Doplňte jména a č. reg.</t>
  </si>
  <si>
    <t>Klub se načítá z listu "Pořadí zápasů…."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</si>
  <si>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</si>
  <si>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upřesní hl. rozhodčí</t>
  </si>
  <si>
    <t>4M údery a konečný výsledek</t>
  </si>
  <si>
    <t>4M + Resultate</t>
  </si>
  <si>
    <t>4M + Results</t>
  </si>
  <si>
    <t>poražení 1. SMF - 2.SMF</t>
  </si>
  <si>
    <t>vítězové 1.SMF - 2.SMF</t>
  </si>
  <si>
    <t>Utkání o 1. a 2. místo</t>
  </si>
  <si>
    <t xml:space="preserve">Match um 1. bis 2. Platz 
</t>
  </si>
  <si>
    <t>Match about 1. - 2.range</t>
  </si>
  <si>
    <t>Prosím pro jazyk zadejte číslo v buňce $AL$2 (CZ=1, D=2, EN=3 )</t>
  </si>
  <si>
    <t>výsledky doplňte do listu "Pořadí…."</t>
  </si>
  <si>
    <t>doplňte výsledky</t>
  </si>
  <si>
    <t>načtou se do protokolu</t>
  </si>
  <si>
    <t>doba hry</t>
  </si>
  <si>
    <t>prázdné</t>
  </si>
  <si>
    <t>tělovýchovným spolkem - klubem:</t>
  </si>
  <si>
    <t>Lokomotiva Liberec</t>
  </si>
  <si>
    <t>Mlékárna Olešnice cykloklub Svitávka</t>
  </si>
  <si>
    <t>Sálová cyklistika Svitávka</t>
  </si>
  <si>
    <t>SK Chodsko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</si>
  <si>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</si>
  <si>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</si>
  <si>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</si>
  <si>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</si>
  <si>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</si>
  <si>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</si>
  <si>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</si>
  <si>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</si>
  <si>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</si>
  <si>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UCI-ID</t>
  </si>
  <si>
    <t>Sokol Šitbořice 1</t>
  </si>
  <si>
    <t>Olomouc</t>
  </si>
  <si>
    <t>Spartak Chrastava</t>
  </si>
  <si>
    <t>Liberec - Chrastava</t>
  </si>
  <si>
    <t>MILO Olomouc 1</t>
  </si>
  <si>
    <t>MILO Olomouc 2</t>
  </si>
  <si>
    <t>Sokol Šitbořice 2</t>
  </si>
  <si>
    <t>MILO Olomouc 3</t>
  </si>
  <si>
    <t>Sokol Šitbořice 3</t>
  </si>
  <si>
    <t>Oblast Čechy:</t>
  </si>
  <si>
    <t>Oblast Morava:</t>
  </si>
  <si>
    <t>Pořadí podle kvalifikačních bodů z turnajů</t>
  </si>
  <si>
    <t>CELKEM</t>
  </si>
  <si>
    <t>Date:
25.4.2026</t>
  </si>
  <si>
    <t>Start Plzeň 1</t>
  </si>
  <si>
    <t>Chodov - Plzeň</t>
  </si>
  <si>
    <t>SK Chodov</t>
  </si>
  <si>
    <t>Start Plzeň 2</t>
  </si>
  <si>
    <t>Sokol  Zlín-Prštné 1</t>
  </si>
  <si>
    <t>Sokol  Zlín-Prštné 2</t>
  </si>
  <si>
    <t>Sokol Šitbořice 4</t>
  </si>
  <si>
    <t>Start Plzeň</t>
  </si>
  <si>
    <t>Sokol Zlín-Prštné 2</t>
  </si>
  <si>
    <t>Sokol Zlín-Prštné 1</t>
  </si>
  <si>
    <t>Šámal Filip</t>
  </si>
  <si>
    <t>Turcanu Tomáš</t>
  </si>
  <si>
    <t>Havle Petr</t>
  </si>
  <si>
    <t>Malý Radek</t>
  </si>
  <si>
    <t>Bartošek Lukáš</t>
  </si>
  <si>
    <t>Culek Mikuláš</t>
  </si>
  <si>
    <t>Kyzlink Filip</t>
  </si>
  <si>
    <t>Šabata Matěj</t>
  </si>
  <si>
    <t>Doležal Mikuláš</t>
  </si>
  <si>
    <t>Doležal Vítek</t>
  </si>
  <si>
    <t>Hobza Robert</t>
  </si>
  <si>
    <t>Klesnil Lukáš</t>
  </si>
  <si>
    <t>Sedláček Jan</t>
  </si>
  <si>
    <t>Klesnil Vilém</t>
  </si>
  <si>
    <t>Šimlík Bohdan</t>
  </si>
  <si>
    <t>Mayer Václav</t>
  </si>
  <si>
    <t>Hobzová Veronika</t>
  </si>
  <si>
    <t>Struhařová Sára</t>
  </si>
  <si>
    <t>Kat. FINÁLE
CZE-Pohár</t>
  </si>
  <si>
    <t>Nasazení družstev</t>
  </si>
  <si>
    <t>Ansatz Teams</t>
  </si>
  <si>
    <t xml:space="preserve">Setting teams
</t>
  </si>
  <si>
    <t>Kontrola počtu zápasů</t>
  </si>
  <si>
    <t>Kontrolle der Anzahl Kampf</t>
  </si>
  <si>
    <t>Control of the number of matchs</t>
  </si>
  <si>
    <t>Startovné družstev á 500 Kč uhrazeno. Náhrady rozhodčím á 500 Kč byly vyplaceny podle STS ČSC.</t>
  </si>
  <si>
    <r>
      <t xml:space="preserve">CZE-Pohár žáků 2026 - </t>
    </r>
    <r>
      <rPr>
        <b/>
        <sz val="16"/>
        <color rgb="FFFF0000"/>
        <rFont val="Arial CE"/>
        <charset val="238"/>
      </rPr>
      <t>FINÁLE</t>
    </r>
  </si>
  <si>
    <t>Klein Patrik</t>
  </si>
  <si>
    <t>Samsonek Vít</t>
  </si>
  <si>
    <t>čl.pr. TJ/SK</t>
  </si>
  <si>
    <t>Struhař</t>
  </si>
  <si>
    <t>Brodský</t>
  </si>
  <si>
    <t>Přidal</t>
  </si>
  <si>
    <t>Struhař Martin</t>
  </si>
  <si>
    <t>Tomeček Karel</t>
  </si>
  <si>
    <t>Brodský Tomáš</t>
  </si>
  <si>
    <t>Přidal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</si>
</sst>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2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2"/>
      <color indexed="56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56"/>
      <name val="Arial CE"/>
      <family val="2"/>
      <charset val="238"/>
    </font>
    <font>
      <b/>
      <sz val="10"/>
      <color indexed="56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9"/>
      <name val="Arial CE"/>
      <family val="2"/>
      <charset val="238"/>
    </font>
    <font>
      <b/>
      <sz val="14"/>
      <color indexed="10"/>
      <name val="Arial Black"/>
      <family val="2"/>
    </font>
    <font>
      <b/>
      <sz val="11"/>
      <name val="Arial CE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b/>
      <sz val="10"/>
      <color indexed="12"/>
      <name val="Arial CE"/>
      <family val="2"/>
      <charset val="238"/>
    </font>
    <font>
      <b/>
      <sz val="9"/>
      <name val="Arial CE"/>
      <family val="2"/>
      <charset val="238"/>
    </font>
    <font>
      <b/>
      <sz val="9"/>
      <color indexed="10"/>
      <name val="Arial CE"/>
      <family val="2"/>
      <charset val="238"/>
    </font>
    <font>
      <b/>
      <sz val="9"/>
      <color indexed="12"/>
      <name val="Arial CE"/>
      <family val="2"/>
      <charset val="238"/>
    </font>
    <font>
      <b/>
      <sz val="12"/>
      <color indexed="10"/>
      <name val="Arial Black"/>
      <family val="2"/>
    </font>
    <font>
      <b/>
      <sz val="12"/>
      <color indexed="12"/>
      <name val="Arial Black"/>
      <family val="2"/>
    </font>
    <font>
      <b/>
      <sz val="12"/>
      <name val="Arial CE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sz val="9"/>
      <name val="System"/>
      <family val="2"/>
      <charset val="238"/>
    </font>
    <font>
      <b/>
      <sz val="10"/>
      <color indexed="10"/>
      <name val="Arial CE"/>
      <charset val="238"/>
    </font>
    <font>
      <sz val="10"/>
      <color indexed="9"/>
      <name val="Arial CE"/>
      <family val="2"/>
      <charset val="238"/>
    </font>
    <font>
      <b/>
      <sz val="22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name val="Arial CE"/>
      <charset val="238"/>
    </font>
    <font>
      <sz val="8"/>
      <color indexed="9"/>
      <name val="Arial CE"/>
      <charset val="238"/>
    </font>
    <font>
      <sz val="8"/>
      <color indexed="8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8"/>
      <name val="Arial"/>
      <family val="2"/>
      <charset val="238"/>
    </font>
    <font>
      <b/>
      <sz val="14"/>
      <name val="Arial CE"/>
      <family val="2"/>
      <charset val="238"/>
    </font>
    <font>
      <b/>
      <sz val="14"/>
      <color indexed="18"/>
      <name val="Arial CE"/>
      <family val="2"/>
      <charset val="238"/>
    </font>
    <font>
      <b/>
      <sz val="8"/>
      <color indexed="12"/>
      <name val="Arial CE"/>
      <family val="2"/>
      <charset val="238"/>
    </font>
    <font>
      <sz val="12"/>
      <color indexed="9"/>
      <name val="Arial CE"/>
      <family val="2"/>
      <charset val="238"/>
    </font>
    <font>
      <sz val="9"/>
      <color indexed="55"/>
      <name val="System"/>
      <family val="2"/>
      <charset val="238"/>
    </font>
    <font>
      <b/>
      <sz val="14"/>
      <color indexed="10"/>
      <name val="Arial CE"/>
      <family val="2"/>
      <charset val="238"/>
    </font>
    <font>
      <b/>
      <sz val="10"/>
      <name val="Arial"/>
      <family val="2"/>
      <charset val="238"/>
    </font>
    <font>
      <b/>
      <u/>
      <sz val="11"/>
      <color indexed="10"/>
      <name val="Arial CE"/>
      <charset val="238"/>
    </font>
    <font>
      <sz val="11"/>
      <name val="Arial"/>
      <family val="2"/>
      <charset val="238"/>
    </font>
    <font>
      <b/>
      <sz val="10"/>
      <color theme="1"/>
      <name val="Arial CE"/>
      <family val="2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b/>
      <sz val="12"/>
      <color rgb="FF000000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2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0"/>
      <color rgb="FF000000"/>
      <name val="Arial CE"/>
      <family val="2"/>
      <charset val="238"/>
    </font>
    <font>
      <b/>
      <sz val="11"/>
      <color rgb="FF002060"/>
      <name val="Arial CE"/>
      <charset val="238"/>
    </font>
    <font>
      <b/>
      <sz val="14"/>
      <color rgb="FF002060"/>
      <name val="Arial CE"/>
      <family val="2"/>
      <charset val="238"/>
    </font>
    <font>
      <sz val="9"/>
      <color rgb="FF002060"/>
      <name val="Arial CE"/>
      <charset val="238"/>
    </font>
    <font>
      <b/>
      <sz val="9"/>
      <color rgb="FF002060"/>
      <name val="Arial CE"/>
      <charset val="238"/>
    </font>
    <font>
      <sz val="10"/>
      <color rgb="FF002060"/>
      <name val="Arial CE"/>
      <family val="2"/>
      <charset val="238"/>
    </font>
    <font>
      <b/>
      <sz val="11"/>
      <color rgb="FF002060"/>
      <name val="Arial CE"/>
      <family val="2"/>
      <charset val="238"/>
    </font>
    <font>
      <sz val="11"/>
      <color rgb="FF002060"/>
      <name val="Arial CE"/>
      <family val="2"/>
      <charset val="238"/>
    </font>
    <font>
      <b/>
      <sz val="10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12"/>
      <color rgb="FFFF0000"/>
      <name val="Arial CE"/>
      <charset val="238"/>
    </font>
    <font>
      <b/>
      <sz val="12"/>
      <color theme="3" tint="-0.249977111117893"/>
      <name val="Arial CE"/>
      <family val="2"/>
      <charset val="238"/>
    </font>
    <font>
      <sz val="12"/>
      <color theme="3" tint="-0.249977111117893"/>
      <name val="Arial CE"/>
      <family val="2"/>
      <charset val="238"/>
    </font>
    <font>
      <sz val="10"/>
      <color theme="3" tint="-0.249977111117893"/>
      <name val="Arial CE"/>
      <family val="2"/>
      <charset val="238"/>
    </font>
    <font>
      <sz val="12"/>
      <color rgb="FF002060"/>
      <name val="Arial CE"/>
      <charset val="238"/>
    </font>
    <font>
      <sz val="11"/>
      <color rgb="FF002060"/>
      <name val="Arial CE"/>
      <charset val="238"/>
    </font>
    <font>
      <b/>
      <sz val="8"/>
      <color rgb="FFFF0000"/>
      <name val="Arial CE"/>
      <charset val="238"/>
    </font>
    <font>
      <b/>
      <sz val="16"/>
      <color rgb="FFFF0000"/>
      <name val="Arial Black"/>
      <family val="2"/>
    </font>
    <font>
      <sz val="12"/>
      <color theme="3" tint="-0.249977111117893"/>
      <name val="Arial CE"/>
      <charset val="238"/>
    </font>
    <font>
      <b/>
      <sz val="14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u/>
      <sz val="12"/>
      <color indexed="10"/>
      <name val="Arial CE"/>
      <charset val="238"/>
    </font>
    <font>
      <b/>
      <sz val="12"/>
      <color rgb="FF003366"/>
      <name val="Arial CE"/>
      <charset val="238"/>
    </font>
    <font>
      <sz val="8"/>
      <color rgb="FF002060"/>
      <name val="Arial CE"/>
      <charset val="238"/>
    </font>
    <font>
      <sz val="12"/>
      <color rgb="FF000058"/>
      <name val="Arial CE"/>
      <family val="2"/>
      <charset val="238"/>
    </font>
    <font>
      <b/>
      <sz val="8"/>
      <color rgb="FF002060"/>
      <name val="Arial CE"/>
      <charset val="238"/>
    </font>
    <font>
      <b/>
      <sz val="8"/>
      <color rgb="FF000058"/>
      <name val="Arial CE"/>
      <charset val="238"/>
    </font>
    <font>
      <sz val="9"/>
      <color rgb="FF000058"/>
      <name val="Arial CE"/>
      <charset val="238"/>
    </font>
    <font>
      <sz val="11"/>
      <name val="Arial CE"/>
      <charset val="238"/>
    </font>
    <font>
      <b/>
      <sz val="8"/>
      <color rgb="FF002060"/>
      <name val="Arial CE"/>
      <family val="2"/>
      <charset val="238"/>
    </font>
    <font>
      <b/>
      <sz val="12"/>
      <color indexed="32"/>
      <name val="Arial CE"/>
      <family val="2"/>
      <charset val="238"/>
    </font>
    <font>
      <b/>
      <sz val="8"/>
      <color indexed="32"/>
      <name val="Arial CE"/>
      <family val="2"/>
      <charset val="238"/>
    </font>
    <font>
      <sz val="12"/>
      <color indexed="32"/>
      <name val="Arial CE"/>
      <charset val="238"/>
    </font>
    <font>
      <sz val="12"/>
      <color rgb="FF000058"/>
      <name val="Arial CE"/>
      <charset val="238"/>
    </font>
    <font>
      <sz val="9"/>
      <color indexed="32"/>
      <name val="Arial CE"/>
      <charset val="238"/>
    </font>
    <font>
      <b/>
      <i/>
      <sz val="12"/>
      <name val="Arial CE"/>
      <charset val="238"/>
    </font>
    <font>
      <b/>
      <sz val="11"/>
      <color indexed="32"/>
      <name val="Arial CE"/>
      <charset val="238"/>
    </font>
    <font>
      <b/>
      <sz val="11"/>
      <color rgb="FF000058"/>
      <name val="Arial CE"/>
      <charset val="238"/>
    </font>
    <font>
      <b/>
      <sz val="16"/>
      <color rgb="FFFF0000"/>
      <name val="Arial CE"/>
      <charset val="238"/>
    </font>
    <font>
      <sz val="10"/>
      <color rgb="FFFF0000"/>
      <name val="Arial CE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6A6A6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</borders>
  <cellStyleXfs count="2">
    <xf numFmtId="0" fontId="0" fillId="0" borderId="0"/>
    <xf numFmtId="0" fontId="15" fillId="0" borderId="0"/>
  </cellStyleXfs>
  <cellXfs count="507">
    <xf numFmtId="0" fontId="0" fillId="0" borderId="0" xfId="0"/>
    <xf numFmtId="0" fontId="0" fillId="0" borderId="1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centerContinuous"/>
    </xf>
    <xf numFmtId="0" fontId="4" fillId="0" borderId="0" xfId="0" applyFont="1"/>
    <xf numFmtId="0" fontId="5" fillId="0" borderId="0" xfId="0" applyFont="1"/>
    <xf numFmtId="0" fontId="8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/>
    <xf numFmtId="0" fontId="4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Border="1"/>
    <xf numFmtId="0" fontId="0" fillId="0" borderId="0" xfId="0" applyProtection="1"/>
    <xf numFmtId="0" fontId="0" fillId="0" borderId="0" xfId="0" applyFill="1" applyProtection="1"/>
    <xf numFmtId="0" fontId="5" fillId="0" borderId="0" xfId="0" applyFont="1" applyProtection="1"/>
    <xf numFmtId="0" fontId="9" fillId="0" borderId="3" xfId="0" applyFont="1" applyBorder="1" applyProtection="1">
      <protection locked="0"/>
    </xf>
    <xf numFmtId="0" fontId="10" fillId="0" borderId="0" xfId="0" applyFont="1" applyAlignment="1">
      <alignment horizontal="center"/>
    </xf>
    <xf numFmtId="0" fontId="11" fillId="0" borderId="3" xfId="0" applyFont="1" applyBorder="1" applyProtection="1">
      <protection locked="0"/>
    </xf>
    <xf numFmtId="0" fontId="13" fillId="0" borderId="3" xfId="0" applyFont="1" applyBorder="1" applyProtection="1">
      <protection locked="0"/>
    </xf>
    <xf numFmtId="1" fontId="14" fillId="2" borderId="3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 applyProtection="1">
      <alignment horizontal="center" vertical="center"/>
    </xf>
    <xf numFmtId="1" fontId="14" fillId="0" borderId="3" xfId="0" applyNumberFormat="1" applyFont="1" applyBorder="1" applyAlignment="1" applyProtection="1">
      <alignment horizontal="center" vertical="center"/>
    </xf>
    <xf numFmtId="1" fontId="14" fillId="0" borderId="4" xfId="0" applyNumberFormat="1" applyFont="1" applyBorder="1" applyAlignment="1" applyProtection="1">
      <alignment horizontal="center" vertical="center"/>
      <protection locked="0"/>
    </xf>
    <xf numFmtId="1" fontId="14" fillId="0" borderId="3" xfId="0" applyNumberFormat="1" applyFont="1" applyBorder="1" applyAlignment="1" applyProtection="1">
      <alignment horizontal="center" vertical="center"/>
      <protection locked="0"/>
    </xf>
    <xf numFmtId="1" fontId="14" fillId="2" borderId="4" xfId="0" applyNumberFormat="1" applyFont="1" applyFill="1" applyBorder="1" applyAlignment="1" applyProtection="1">
      <alignment horizontal="center" vertical="center"/>
    </xf>
    <xf numFmtId="1" fontId="14" fillId="0" borderId="4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53" fillId="0" borderId="3" xfId="0" applyFont="1" applyBorder="1" applyProtection="1">
      <protection locked="0"/>
    </xf>
    <xf numFmtId="0" fontId="18" fillId="0" borderId="0" xfId="0" applyFont="1"/>
    <xf numFmtId="0" fontId="0" fillId="0" borderId="0" xfId="0" applyAlignment="1">
      <alignment vertical="center"/>
    </xf>
    <xf numFmtId="0" fontId="0" fillId="0" borderId="0" xfId="0" applyBorder="1" applyProtection="1"/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1" fontId="54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14" fillId="2" borderId="4" xfId="0" applyNumberFormat="1" applyFont="1" applyFill="1" applyBorder="1" applyAlignment="1" applyProtection="1">
      <alignment horizontal="center" vertical="center"/>
      <protection locked="0"/>
    </xf>
    <xf numFmtId="1" fontId="14" fillId="0" borderId="3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Continuous" vertical="center"/>
    </xf>
    <xf numFmtId="0" fontId="21" fillId="0" borderId="0" xfId="0" applyFont="1" applyBorder="1" applyAlignment="1">
      <alignment vertical="center"/>
    </xf>
    <xf numFmtId="0" fontId="24" fillId="3" borderId="8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12" fillId="0" borderId="0" xfId="0" applyFont="1" applyBorder="1" applyProtection="1">
      <protection locked="0"/>
    </xf>
    <xf numFmtId="0" fontId="14" fillId="0" borderId="0" xfId="0" applyFont="1" applyFill="1" applyBorder="1" applyAlignment="1" applyProtection="1">
      <alignment horizontal="left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0" fontId="55" fillId="5" borderId="0" xfId="0" applyFont="1" applyFill="1"/>
    <xf numFmtId="0" fontId="56" fillId="5" borderId="0" xfId="0" applyFont="1" applyFill="1"/>
    <xf numFmtId="0" fontId="7" fillId="0" borderId="6" xfId="0" applyNumberFormat="1" applyFont="1" applyBorder="1" applyAlignment="1">
      <alignment horizontal="center"/>
    </xf>
    <xf numFmtId="0" fontId="15" fillId="0" borderId="11" xfId="0" applyFont="1" applyFill="1" applyBorder="1"/>
    <xf numFmtId="0" fontId="15" fillId="0" borderId="12" xfId="0" applyFont="1" applyFill="1" applyBorder="1"/>
    <xf numFmtId="0" fontId="15" fillId="0" borderId="13" xfId="0" applyFont="1" applyFill="1" applyBorder="1" applyAlignment="1">
      <alignment horizontal="right"/>
    </xf>
    <xf numFmtId="1" fontId="17" fillId="0" borderId="6" xfId="0" applyNumberFormat="1" applyFont="1" applyFill="1" applyBorder="1" applyAlignment="1">
      <alignment horizontal="center"/>
    </xf>
    <xf numFmtId="49" fontId="17" fillId="0" borderId="11" xfId="0" applyNumberFormat="1" applyFont="1" applyFill="1" applyBorder="1" applyAlignment="1">
      <alignment horizontal="right"/>
    </xf>
    <xf numFmtId="49" fontId="17" fillId="0" borderId="12" xfId="0" applyNumberFormat="1" applyFont="1" applyFill="1" applyBorder="1"/>
    <xf numFmtId="49" fontId="17" fillId="0" borderId="13" xfId="0" applyNumberFormat="1" applyFont="1" applyFill="1" applyBorder="1" applyAlignment="1">
      <alignment horizontal="right"/>
    </xf>
    <xf numFmtId="49" fontId="17" fillId="0" borderId="6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right"/>
    </xf>
    <xf numFmtId="1" fontId="17" fillId="0" borderId="0" xfId="0" applyNumberFormat="1" applyFont="1" applyFill="1" applyBorder="1" applyAlignment="1">
      <alignment horizontal="center"/>
    </xf>
    <xf numFmtId="49" fontId="17" fillId="0" borderId="0" xfId="0" applyNumberFormat="1" applyFont="1" applyFill="1" applyBorder="1" applyAlignment="1">
      <alignment horizontal="right"/>
    </xf>
    <xf numFmtId="49" fontId="17" fillId="0" borderId="0" xfId="0" applyNumberFormat="1" applyFont="1" applyFill="1" applyBorder="1"/>
    <xf numFmtId="49" fontId="17" fillId="0" borderId="0" xfId="0" applyNumberFormat="1" applyFont="1" applyFill="1" applyBorder="1" applyAlignment="1">
      <alignment horizontal="center"/>
    </xf>
    <xf numFmtId="0" fontId="52" fillId="0" borderId="6" xfId="0" applyFont="1" applyBorder="1" applyAlignment="1">
      <alignment horizontal="centerContinuous"/>
    </xf>
    <xf numFmtId="1" fontId="52" fillId="0" borderId="4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Fill="1" applyBorder="1" applyAlignment="1">
      <alignment horizontal="center" vertical="center"/>
    </xf>
    <xf numFmtId="1" fontId="52" fillId="0" borderId="3" xfId="0" applyNumberFormat="1" applyFont="1" applyFill="1" applyBorder="1" applyAlignment="1" applyProtection="1">
      <alignment horizontal="center" vertical="center"/>
      <protection locked="0"/>
    </xf>
    <xf numFmtId="1" fontId="52" fillId="0" borderId="3" xfId="0" applyNumberFormat="1" applyFont="1" applyBorder="1" applyAlignment="1">
      <alignment horizontal="center" vertical="center"/>
    </xf>
    <xf numFmtId="1" fontId="52" fillId="0" borderId="3" xfId="0" applyNumberFormat="1" applyFont="1" applyBorder="1" applyAlignment="1" applyProtection="1">
      <alignment horizontal="center" vertical="center"/>
      <protection locked="0"/>
    </xf>
    <xf numFmtId="1" fontId="52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2" fillId="0" borderId="0" xfId="0" applyFont="1"/>
    <xf numFmtId="0" fontId="24" fillId="3" borderId="14" xfId="0" applyFont="1" applyFill="1" applyBorder="1" applyAlignment="1">
      <alignment horizontal="center"/>
    </xf>
    <xf numFmtId="0" fontId="25" fillId="4" borderId="14" xfId="0" applyFont="1" applyFill="1" applyBorder="1" applyAlignment="1">
      <alignment horizontal="center"/>
    </xf>
    <xf numFmtId="0" fontId="0" fillId="0" borderId="6" xfId="0" applyBorder="1"/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/>
    </xf>
    <xf numFmtId="0" fontId="57" fillId="0" borderId="0" xfId="0" applyFont="1"/>
    <xf numFmtId="0" fontId="58" fillId="0" borderId="0" xfId="0" applyFont="1"/>
    <xf numFmtId="49" fontId="31" fillId="0" borderId="6" xfId="0" applyNumberFormat="1" applyFont="1" applyBorder="1" applyAlignment="1">
      <alignment horizontal="center" vertical="center"/>
    </xf>
    <xf numFmtId="1" fontId="52" fillId="0" borderId="5" xfId="0" applyNumberFormat="1" applyFont="1" applyFill="1" applyBorder="1" applyAlignment="1" applyProtection="1">
      <alignment horizontal="center" vertical="center"/>
      <protection locked="0"/>
    </xf>
    <xf numFmtId="1" fontId="52" fillId="0" borderId="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34" fillId="6" borderId="49" xfId="0" applyFont="1" applyFill="1" applyBorder="1" applyAlignment="1" applyProtection="1">
      <alignment horizontal="center" vertical="center"/>
      <protection locked="0"/>
    </xf>
    <xf numFmtId="0" fontId="14" fillId="7" borderId="0" xfId="0" applyFont="1" applyFill="1" applyAlignment="1">
      <alignment horizontal="left" vertical="center"/>
    </xf>
    <xf numFmtId="0" fontId="0" fillId="7" borderId="0" xfId="0" applyFill="1"/>
    <xf numFmtId="0" fontId="35" fillId="0" borderId="0" xfId="0" applyFont="1" applyFill="1" applyBorder="1" applyAlignment="1"/>
    <xf numFmtId="0" fontId="35" fillId="0" borderId="0" xfId="0" applyNumberFormat="1" applyFont="1" applyBorder="1" applyAlignment="1"/>
    <xf numFmtId="0" fontId="17" fillId="0" borderId="0" xfId="0" applyFont="1" applyAlignment="1"/>
    <xf numFmtId="0" fontId="0" fillId="0" borderId="0" xfId="0" applyAlignment="1"/>
    <xf numFmtId="0" fontId="36" fillId="0" borderId="0" xfId="0" applyFont="1" applyAlignment="1"/>
    <xf numFmtId="0" fontId="36" fillId="0" borderId="0" xfId="0" applyFont="1" applyAlignment="1">
      <alignment wrapText="1"/>
    </xf>
    <xf numFmtId="0" fontId="33" fillId="8" borderId="0" xfId="0" applyFont="1" applyFill="1" applyAlignment="1"/>
    <xf numFmtId="0" fontId="37" fillId="8" borderId="0" xfId="0" applyFont="1" applyFill="1" applyAlignment="1"/>
    <xf numFmtId="0" fontId="33" fillId="7" borderId="0" xfId="0" applyFont="1" applyFill="1"/>
    <xf numFmtId="0" fontId="36" fillId="9" borderId="0" xfId="0" applyFont="1" applyFill="1"/>
    <xf numFmtId="0" fontId="0" fillId="10" borderId="6" xfId="0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0" fontId="38" fillId="0" borderId="0" xfId="0" applyFont="1" applyFill="1" applyBorder="1" applyAlignment="1"/>
    <xf numFmtId="0" fontId="38" fillId="0" borderId="0" xfId="0" applyNumberFormat="1" applyFont="1" applyBorder="1" applyAlignment="1">
      <alignment vertical="center"/>
    </xf>
    <xf numFmtId="0" fontId="19" fillId="0" borderId="0" xfId="0" applyFont="1" applyAlignment="1">
      <alignment horizontal="right"/>
    </xf>
    <xf numFmtId="0" fontId="28" fillId="10" borderId="17" xfId="0" applyFont="1" applyFill="1" applyBorder="1" applyAlignment="1">
      <alignment horizontal="centerContinuous"/>
    </xf>
    <xf numFmtId="0" fontId="6" fillId="0" borderId="6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Continuous"/>
    </xf>
    <xf numFmtId="0" fontId="19" fillId="0" borderId="0" xfId="0" applyFont="1" applyAlignment="1" applyProtection="1">
      <alignment horizontal="right"/>
    </xf>
    <xf numFmtId="0" fontId="14" fillId="0" borderId="18" xfId="0" applyFont="1" applyBorder="1"/>
    <xf numFmtId="0" fontId="0" fillId="0" borderId="18" xfId="0" applyBorder="1"/>
    <xf numFmtId="0" fontId="1" fillId="0" borderId="6" xfId="0" applyNumberFormat="1" applyFont="1" applyBorder="1" applyAlignment="1">
      <alignment horizontal="centerContinuous"/>
    </xf>
    <xf numFmtId="0" fontId="58" fillId="6" borderId="7" xfId="0" applyFont="1" applyFill="1" applyBorder="1" applyAlignment="1"/>
    <xf numFmtId="0" fontId="1" fillId="6" borderId="1" xfId="0" applyFont="1" applyFill="1" applyBorder="1" applyAlignment="1"/>
    <xf numFmtId="0" fontId="1" fillId="0" borderId="0" xfId="0" applyFont="1" applyAlignment="1">
      <alignment horizontal="center"/>
    </xf>
    <xf numFmtId="0" fontId="59" fillId="0" borderId="3" xfId="0" applyFont="1" applyBorder="1" applyProtection="1">
      <protection locked="0"/>
    </xf>
    <xf numFmtId="0" fontId="60" fillId="0" borderId="3" xfId="0" applyFont="1" applyBorder="1" applyProtection="1">
      <protection locked="0"/>
    </xf>
    <xf numFmtId="0" fontId="60" fillId="0" borderId="20" xfId="0" applyFont="1" applyBorder="1" applyProtection="1">
      <protection locked="0"/>
    </xf>
    <xf numFmtId="0" fontId="61" fillId="0" borderId="20" xfId="0" applyFont="1" applyBorder="1" applyProtection="1">
      <protection locked="0"/>
    </xf>
    <xf numFmtId="0" fontId="61" fillId="0" borderId="3" xfId="0" applyFont="1" applyBorder="1" applyProtection="1">
      <protection locked="0"/>
    </xf>
    <xf numFmtId="0" fontId="62" fillId="0" borderId="3" xfId="0" applyNumberFormat="1" applyFont="1" applyBorder="1" applyAlignment="1">
      <alignment horizontal="right" vertical="center"/>
    </xf>
    <xf numFmtId="0" fontId="62" fillId="0" borderId="3" xfId="0" applyNumberFormat="1" applyFont="1" applyFill="1" applyBorder="1" applyAlignment="1">
      <alignment horizontal="center" vertical="center"/>
    </xf>
    <xf numFmtId="0" fontId="62" fillId="0" borderId="3" xfId="0" applyNumberFormat="1" applyFont="1" applyBorder="1" applyAlignment="1">
      <alignment horizontal="center" vertical="center"/>
    </xf>
    <xf numFmtId="1" fontId="62" fillId="0" borderId="3" xfId="0" applyNumberFormat="1" applyFont="1" applyBorder="1" applyAlignment="1">
      <alignment horizontal="right" vertical="center"/>
    </xf>
    <xf numFmtId="0" fontId="15" fillId="0" borderId="0" xfId="0" applyNumberFormat="1" applyFont="1" applyAlignment="1">
      <alignment horizontal="center" vertical="center"/>
    </xf>
    <xf numFmtId="0" fontId="0" fillId="9" borderId="0" xfId="0" applyFill="1"/>
    <xf numFmtId="0" fontId="13" fillId="0" borderId="20" xfId="0" applyFont="1" applyBorder="1" applyProtection="1">
      <protection locked="0"/>
    </xf>
    <xf numFmtId="0" fontId="63" fillId="0" borderId="20" xfId="0" applyFont="1" applyBorder="1" applyProtection="1">
      <protection locked="0"/>
    </xf>
    <xf numFmtId="1" fontId="4" fillId="0" borderId="5" xfId="0" applyNumberFormat="1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horizontal="righ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64" fillId="0" borderId="3" xfId="0" applyFont="1" applyBorder="1" applyProtection="1">
      <protection locked="0"/>
    </xf>
    <xf numFmtId="0" fontId="61" fillId="0" borderId="20" xfId="0" applyFont="1" applyBorder="1"/>
    <xf numFmtId="0" fontId="59" fillId="0" borderId="3" xfId="0" applyFont="1" applyBorder="1" applyAlignment="1" applyProtection="1">
      <alignment horizontal="center"/>
      <protection locked="0"/>
    </xf>
    <xf numFmtId="0" fontId="65" fillId="0" borderId="0" xfId="0" applyFont="1"/>
    <xf numFmtId="0" fontId="65" fillId="0" borderId="0" xfId="0" applyFont="1" applyProtection="1"/>
    <xf numFmtId="0" fontId="66" fillId="0" borderId="0" xfId="0" applyFont="1"/>
    <xf numFmtId="49" fontId="0" fillId="0" borderId="0" xfId="0" applyNumberFormat="1"/>
    <xf numFmtId="49" fontId="21" fillId="0" borderId="2" xfId="0" applyNumberFormat="1" applyFont="1" applyFill="1" applyBorder="1" applyAlignment="1">
      <alignment horizontal="centerContinuous" vertical="center"/>
    </xf>
    <xf numFmtId="1" fontId="14" fillId="0" borderId="21" xfId="0" applyNumberFormat="1" applyFont="1" applyFill="1" applyBorder="1" applyAlignment="1" applyProtection="1">
      <alignment horizontal="center" vertical="center"/>
      <protection locked="0"/>
    </xf>
    <xf numFmtId="1" fontId="28" fillId="0" borderId="11" xfId="0" applyNumberFormat="1" applyFont="1" applyFill="1" applyBorder="1" applyAlignment="1">
      <alignment horizontal="center" vertical="center"/>
    </xf>
    <xf numFmtId="49" fontId="28" fillId="0" borderId="12" xfId="0" applyNumberFormat="1" applyFont="1" applyFill="1" applyBorder="1" applyAlignment="1">
      <alignment horizontal="center" vertical="center"/>
    </xf>
    <xf numFmtId="1" fontId="28" fillId="0" borderId="13" xfId="0" applyNumberFormat="1" applyFont="1" applyFill="1" applyBorder="1" applyAlignment="1">
      <alignment horizontal="center" vertical="center"/>
    </xf>
    <xf numFmtId="0" fontId="3" fillId="0" borderId="0" xfId="0" applyFont="1"/>
    <xf numFmtId="0" fontId="14" fillId="0" borderId="4" xfId="0" applyNumberFormat="1" applyFont="1" applyBorder="1" applyAlignment="1">
      <alignment horizontal="right" vertical="center"/>
    </xf>
    <xf numFmtId="0" fontId="67" fillId="0" borderId="3" xfId="0" applyFont="1" applyBorder="1" applyProtection="1">
      <protection locked="0"/>
    </xf>
    <xf numFmtId="0" fontId="42" fillId="0" borderId="8" xfId="0" applyNumberFormat="1" applyFont="1" applyFill="1" applyBorder="1" applyAlignment="1" applyProtection="1">
      <alignment horizontal="center" vertical="center"/>
      <protection locked="0"/>
    </xf>
    <xf numFmtId="0" fontId="42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5" fillId="10" borderId="22" xfId="0" applyFont="1" applyFill="1" applyBorder="1" applyAlignment="1">
      <alignment horizontal="center"/>
    </xf>
    <xf numFmtId="0" fontId="68" fillId="0" borderId="22" xfId="0" applyFont="1" applyBorder="1" applyAlignment="1" applyProtection="1">
      <alignment horizontal="left"/>
      <protection locked="0"/>
    </xf>
    <xf numFmtId="0" fontId="68" fillId="0" borderId="23" xfId="0" applyFont="1" applyBorder="1" applyProtection="1">
      <protection locked="0"/>
    </xf>
    <xf numFmtId="20" fontId="68" fillId="0" borderId="24" xfId="0" applyNumberFormat="1" applyFont="1" applyBorder="1" applyAlignment="1" applyProtection="1">
      <alignment horizontal="center"/>
    </xf>
    <xf numFmtId="0" fontId="5" fillId="10" borderId="19" xfId="0" applyFont="1" applyFill="1" applyBorder="1" applyAlignment="1">
      <alignment horizontal="center"/>
    </xf>
    <xf numFmtId="0" fontId="68" fillId="0" borderId="19" xfId="0" applyFont="1" applyBorder="1" applyAlignment="1" applyProtection="1">
      <alignment horizontal="left"/>
      <protection locked="0"/>
    </xf>
    <xf numFmtId="0" fontId="68" fillId="0" borderId="20" xfId="0" applyFont="1" applyBorder="1" applyProtection="1">
      <protection locked="0"/>
    </xf>
    <xf numFmtId="20" fontId="68" fillId="0" borderId="25" xfId="0" applyNumberFormat="1" applyFont="1" applyBorder="1" applyAlignment="1" applyProtection="1">
      <alignment horizontal="center"/>
    </xf>
    <xf numFmtId="0" fontId="68" fillId="0" borderId="19" xfId="0" applyFont="1" applyBorder="1" applyProtection="1">
      <protection locked="0"/>
    </xf>
    <xf numFmtId="0" fontId="68" fillId="0" borderId="25" xfId="0" applyFont="1" applyBorder="1" applyProtection="1"/>
    <xf numFmtId="0" fontId="28" fillId="11" borderId="14" xfId="0" applyFont="1" applyFill="1" applyBorder="1" applyAlignment="1">
      <alignment horizontal="centerContinuous"/>
    </xf>
    <xf numFmtId="0" fontId="68" fillId="12" borderId="19" xfId="0" applyFont="1" applyFill="1" applyBorder="1" applyProtection="1">
      <protection locked="0"/>
    </xf>
    <xf numFmtId="0" fontId="68" fillId="12" borderId="20" xfId="0" applyFont="1" applyFill="1" applyBorder="1" applyProtection="1">
      <protection locked="0"/>
    </xf>
    <xf numFmtId="0" fontId="5" fillId="11" borderId="19" xfId="0" applyFont="1" applyFill="1" applyBorder="1" applyAlignment="1">
      <alignment horizontal="center"/>
    </xf>
    <xf numFmtId="0" fontId="69" fillId="0" borderId="25" xfId="0" applyFont="1" applyBorder="1" applyProtection="1"/>
    <xf numFmtId="49" fontId="0" fillId="0" borderId="0" xfId="0" applyNumberFormat="1" applyBorder="1"/>
    <xf numFmtId="0" fontId="0" fillId="0" borderId="0" xfId="0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4" fillId="0" borderId="26" xfId="0" applyFont="1" applyFill="1" applyBorder="1" applyAlignment="1">
      <alignment horizontal="center" vertical="center" textRotation="90" wrapText="1"/>
    </xf>
    <xf numFmtId="0" fontId="14" fillId="0" borderId="26" xfId="0" applyFont="1" applyFill="1" applyBorder="1" applyAlignment="1"/>
    <xf numFmtId="0" fontId="6" fillId="0" borderId="26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vertical="top"/>
    </xf>
    <xf numFmtId="0" fontId="45" fillId="0" borderId="26" xfId="0" applyFont="1" applyFill="1" applyBorder="1" applyAlignment="1">
      <alignment horizontal="left" vertical="center"/>
    </xf>
    <xf numFmtId="49" fontId="46" fillId="0" borderId="26" xfId="0" applyNumberFormat="1" applyFont="1" applyBorder="1" applyAlignment="1">
      <alignment horizontal="center" vertical="center"/>
    </xf>
    <xf numFmtId="49" fontId="60" fillId="0" borderId="26" xfId="0" applyNumberFormat="1" applyFont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/>
    </xf>
    <xf numFmtId="49" fontId="46" fillId="0" borderId="6" xfId="0" applyNumberFormat="1" applyFont="1" applyBorder="1" applyAlignment="1">
      <alignment horizontal="center" vertical="center"/>
    </xf>
    <xf numFmtId="1" fontId="60" fillId="0" borderId="11" xfId="0" applyNumberFormat="1" applyFont="1" applyBorder="1" applyAlignment="1">
      <alignment horizontal="center" vertical="center"/>
    </xf>
    <xf numFmtId="1" fontId="60" fillId="0" borderId="12" xfId="0" applyNumberFormat="1" applyFont="1" applyBorder="1" applyAlignment="1">
      <alignment horizontal="center" vertical="center"/>
    </xf>
    <xf numFmtId="1" fontId="60" fillId="0" borderId="13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vertical="top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vertical="top"/>
    </xf>
    <xf numFmtId="0" fontId="1" fillId="0" borderId="6" xfId="0" applyFont="1" applyFill="1" applyBorder="1" applyAlignment="1">
      <alignment horizontal="left" vertical="center"/>
    </xf>
    <xf numFmtId="0" fontId="70" fillId="0" borderId="26" xfId="0" applyFont="1" applyFill="1" applyBorder="1" applyAlignment="1">
      <alignment vertical="top"/>
    </xf>
    <xf numFmtId="0" fontId="45" fillId="0" borderId="12" xfId="0" applyFont="1" applyFill="1" applyBorder="1" applyAlignment="1">
      <alignment horizontal="left" vertical="center"/>
    </xf>
    <xf numFmtId="49" fontId="46" fillId="0" borderId="12" xfId="0" applyNumberFormat="1" applyFont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 textRotation="90" wrapText="1"/>
    </xf>
    <xf numFmtId="0" fontId="70" fillId="0" borderId="26" xfId="0" applyFont="1" applyFill="1" applyBorder="1" applyAlignment="1"/>
    <xf numFmtId="0" fontId="4" fillId="0" borderId="0" xfId="0" applyFont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/>
    </xf>
    <xf numFmtId="0" fontId="45" fillId="0" borderId="27" xfId="0" applyFont="1" applyFill="1" applyBorder="1" applyAlignment="1">
      <alignment horizontal="left" vertical="center"/>
    </xf>
    <xf numFmtId="49" fontId="46" fillId="0" borderId="27" xfId="0" applyNumberFormat="1" applyFont="1" applyBorder="1" applyAlignment="1">
      <alignment horizontal="center" vertical="center"/>
    </xf>
    <xf numFmtId="49" fontId="60" fillId="0" borderId="27" xfId="0" applyNumberFormat="1" applyFont="1" applyBorder="1" applyAlignment="1">
      <alignment horizontal="center" vertical="center"/>
    </xf>
    <xf numFmtId="0" fontId="28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2" fillId="0" borderId="6" xfId="0" applyFont="1" applyFill="1" applyBorder="1" applyAlignment="1">
      <alignment vertical="center"/>
    </xf>
    <xf numFmtId="0" fontId="34" fillId="7" borderId="0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3" fillId="0" borderId="0" xfId="0" applyFont="1" applyFill="1"/>
    <xf numFmtId="0" fontId="0" fillId="0" borderId="0" xfId="0" applyFill="1" applyBorder="1"/>
    <xf numFmtId="0" fontId="40" fillId="0" borderId="0" xfId="0" applyFont="1"/>
    <xf numFmtId="0" fontId="40" fillId="0" borderId="0" xfId="0" applyFont="1" applyAlignment="1"/>
    <xf numFmtId="0" fontId="40" fillId="0" borderId="0" xfId="0" applyFont="1" applyBorder="1" applyAlignment="1"/>
    <xf numFmtId="0" fontId="40" fillId="0" borderId="0" xfId="0" applyFont="1" applyFill="1" applyBorder="1" applyAlignment="1"/>
    <xf numFmtId="0" fontId="39" fillId="0" borderId="0" xfId="0" applyFont="1"/>
    <xf numFmtId="0" fontId="73" fillId="0" borderId="20" xfId="0" applyFont="1" applyBorder="1" applyAlignment="1" applyProtection="1">
      <alignment vertical="center"/>
      <protection locked="0"/>
    </xf>
    <xf numFmtId="0" fontId="73" fillId="0" borderId="20" xfId="0" applyFont="1" applyBorder="1" applyProtection="1">
      <protection locked="0"/>
    </xf>
    <xf numFmtId="0" fontId="73" fillId="0" borderId="20" xfId="0" applyFont="1" applyBorder="1" applyAlignment="1" applyProtection="1">
      <alignment horizontal="center"/>
    </xf>
    <xf numFmtId="0" fontId="74" fillId="0" borderId="20" xfId="0" applyFont="1" applyBorder="1" applyProtection="1"/>
    <xf numFmtId="0" fontId="73" fillId="0" borderId="20" xfId="0" applyFont="1" applyFill="1" applyBorder="1" applyAlignment="1" applyProtection="1">
      <alignment horizontal="centerContinuous"/>
      <protection locked="0"/>
    </xf>
    <xf numFmtId="0" fontId="73" fillId="0" borderId="20" xfId="0" applyFont="1" applyFill="1" applyBorder="1" applyAlignment="1" applyProtection="1">
      <alignment horizontal="centerContinuous"/>
    </xf>
    <xf numFmtId="0" fontId="74" fillId="0" borderId="20" xfId="0" applyFont="1" applyFill="1" applyBorder="1" applyProtection="1">
      <protection locked="0"/>
    </xf>
    <xf numFmtId="0" fontId="74" fillId="0" borderId="20" xfId="0" applyFont="1" applyFill="1" applyBorder="1" applyProtection="1"/>
    <xf numFmtId="1" fontId="28" fillId="0" borderId="20" xfId="0" applyNumberFormat="1" applyFont="1" applyBorder="1" applyAlignment="1">
      <alignment horizontal="center" vertical="center"/>
    </xf>
    <xf numFmtId="2" fontId="28" fillId="0" borderId="20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centerContinuous" vertical="center"/>
    </xf>
    <xf numFmtId="0" fontId="0" fillId="0" borderId="16" xfId="0" applyBorder="1" applyAlignment="1">
      <alignment vertical="center"/>
    </xf>
    <xf numFmtId="0" fontId="1" fillId="0" borderId="16" xfId="0" applyFont="1" applyBorder="1" applyAlignment="1">
      <alignment vertical="center"/>
    </xf>
    <xf numFmtId="0" fontId="57" fillId="0" borderId="16" xfId="0" applyFont="1" applyBorder="1" applyAlignment="1">
      <alignment vertical="center"/>
    </xf>
    <xf numFmtId="0" fontId="51" fillId="0" borderId="0" xfId="0" applyFont="1" applyBorder="1" applyAlignment="1" applyProtection="1">
      <alignment vertical="center"/>
      <protection locked="0"/>
    </xf>
    <xf numFmtId="0" fontId="73" fillId="0" borderId="0" xfId="0" applyFont="1" applyBorder="1" applyProtection="1">
      <protection locked="0"/>
    </xf>
    <xf numFmtId="0" fontId="73" fillId="0" borderId="0" xfId="0" applyFont="1" applyBorder="1" applyAlignment="1" applyProtection="1">
      <alignment horizontal="center"/>
    </xf>
    <xf numFmtId="0" fontId="73" fillId="0" borderId="0" xfId="0" applyFont="1" applyBorder="1" applyAlignment="1" applyProtection="1">
      <alignment vertical="center"/>
      <protection locked="0"/>
    </xf>
    <xf numFmtId="0" fontId="73" fillId="0" borderId="0" xfId="0" applyFont="1" applyBorder="1" applyProtection="1"/>
    <xf numFmtId="0" fontId="51" fillId="0" borderId="20" xfId="0" applyFont="1" applyBorder="1" applyAlignment="1" applyProtection="1">
      <alignment vertical="center"/>
      <protection locked="0"/>
    </xf>
    <xf numFmtId="0" fontId="0" fillId="0" borderId="20" xfId="0" applyBorder="1" applyAlignment="1"/>
    <xf numFmtId="0" fontId="39" fillId="0" borderId="29" xfId="0" applyFont="1" applyBorder="1"/>
    <xf numFmtId="0" fontId="51" fillId="0" borderId="19" xfId="0" applyFont="1" applyBorder="1" applyAlignment="1" applyProtection="1">
      <alignment vertical="center"/>
      <protection locked="0"/>
    </xf>
    <xf numFmtId="1" fontId="28" fillId="0" borderId="19" xfId="0" applyNumberFormat="1" applyFont="1" applyBorder="1" applyAlignment="1">
      <alignment horizontal="center" vertical="center"/>
    </xf>
    <xf numFmtId="1" fontId="28" fillId="0" borderId="25" xfId="0" applyNumberFormat="1" applyFont="1" applyBorder="1" applyAlignment="1">
      <alignment horizontal="center" vertical="center"/>
    </xf>
    <xf numFmtId="0" fontId="40" fillId="0" borderId="0" xfId="0" applyFont="1" applyBorder="1"/>
    <xf numFmtId="1" fontId="28" fillId="0" borderId="20" xfId="0" applyNumberFormat="1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75" fillId="0" borderId="19" xfId="0" applyFont="1" applyBorder="1" applyAlignment="1" applyProtection="1">
      <alignment vertical="center"/>
    </xf>
    <xf numFmtId="0" fontId="70" fillId="0" borderId="18" xfId="0" applyFont="1" applyBorder="1"/>
    <xf numFmtId="1" fontId="28" fillId="13" borderId="20" xfId="0" applyNumberFormat="1" applyFont="1" applyFill="1" applyBorder="1" applyAlignment="1">
      <alignment horizontal="center" vertical="center"/>
    </xf>
    <xf numFmtId="0" fontId="47" fillId="0" borderId="27" xfId="0" applyFont="1" applyFill="1" applyBorder="1" applyAlignment="1">
      <alignment horizontal="center"/>
    </xf>
    <xf numFmtId="0" fontId="14" fillId="0" borderId="30" xfId="0" applyFont="1" applyFill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36" fillId="0" borderId="0" xfId="0" applyFont="1" applyFill="1" applyAlignment="1"/>
    <xf numFmtId="0" fontId="0" fillId="0" borderId="0" xfId="0" applyFill="1" applyAlignment="1"/>
    <xf numFmtId="0" fontId="1" fillId="14" borderId="0" xfId="0" applyFont="1" applyFill="1"/>
    <xf numFmtId="0" fontId="57" fillId="9" borderId="0" xfId="0" applyFont="1" applyFill="1"/>
    <xf numFmtId="0" fontId="0" fillId="14" borderId="0" xfId="0" applyFill="1"/>
    <xf numFmtId="0" fontId="32" fillId="0" borderId="0" xfId="0" applyFont="1" applyAlignment="1">
      <alignment vertical="center"/>
    </xf>
    <xf numFmtId="0" fontId="1" fillId="9" borderId="0" xfId="0" applyFont="1" applyFill="1" applyAlignment="1">
      <alignment horizontal="center"/>
    </xf>
    <xf numFmtId="0" fontId="50" fillId="0" borderId="0" xfId="0" applyFont="1"/>
    <xf numFmtId="0" fontId="0" fillId="9" borderId="0" xfId="0" applyFill="1" applyAlignment="1">
      <alignment horizontal="left"/>
    </xf>
    <xf numFmtId="0" fontId="77" fillId="0" borderId="20" xfId="0" applyFont="1" applyBorder="1" applyProtection="1">
      <protection locked="0"/>
    </xf>
    <xf numFmtId="0" fontId="77" fillId="0" borderId="20" xfId="0" applyFont="1" applyBorder="1" applyProtection="1"/>
    <xf numFmtId="0" fontId="77" fillId="0" borderId="20" xfId="0" applyFont="1" applyBorder="1" applyAlignment="1" applyProtection="1">
      <protection locked="0"/>
    </xf>
    <xf numFmtId="0" fontId="77" fillId="0" borderId="20" xfId="0" applyFont="1" applyFill="1" applyBorder="1" applyAlignment="1" applyProtection="1">
      <protection locked="0"/>
    </xf>
    <xf numFmtId="0" fontId="77" fillId="0" borderId="20" xfId="0" applyFont="1" applyFill="1" applyBorder="1" applyAlignment="1" applyProtection="1"/>
    <xf numFmtId="0" fontId="61" fillId="0" borderId="25" xfId="0" applyFont="1" applyFill="1" applyBorder="1" applyAlignment="1" applyProtection="1"/>
    <xf numFmtId="0" fontId="77" fillId="0" borderId="20" xfId="0" applyFont="1" applyBorder="1" applyAlignment="1" applyProtection="1">
      <alignment horizontal="left"/>
      <protection locked="0"/>
    </xf>
    <xf numFmtId="0" fontId="61" fillId="0" borderId="25" xfId="0" applyFont="1" applyBorder="1" applyProtection="1"/>
    <xf numFmtId="0" fontId="61" fillId="0" borderId="20" xfId="0" applyFont="1" applyFill="1" applyBorder="1" applyAlignment="1" applyProtection="1"/>
    <xf numFmtId="0" fontId="73" fillId="0" borderId="0" xfId="0" applyFont="1" applyFill="1" applyBorder="1" applyAlignment="1" applyProtection="1">
      <alignment horizontal="centerContinuous"/>
    </xf>
    <xf numFmtId="1" fontId="60" fillId="0" borderId="11" xfId="0" applyNumberFormat="1" applyFont="1" applyFill="1" applyBorder="1" applyAlignment="1">
      <alignment horizontal="center" vertical="center"/>
    </xf>
    <xf numFmtId="0" fontId="78" fillId="0" borderId="2" xfId="0" applyFont="1" applyFill="1" applyBorder="1" applyAlignment="1">
      <alignment horizontal="center" vertical="center"/>
    </xf>
    <xf numFmtId="1" fontId="60" fillId="15" borderId="11" xfId="0" applyNumberFormat="1" applyFont="1" applyFill="1" applyBorder="1" applyAlignment="1">
      <alignment horizontal="center" vertical="center"/>
    </xf>
    <xf numFmtId="1" fontId="60" fillId="15" borderId="12" xfId="0" applyNumberFormat="1" applyFont="1" applyFill="1" applyBorder="1" applyAlignment="1">
      <alignment horizontal="center" vertical="center"/>
    </xf>
    <xf numFmtId="1" fontId="60" fillId="15" borderId="13" xfId="0" applyNumberFormat="1" applyFont="1" applyFill="1" applyBorder="1" applyAlignment="1">
      <alignment horizontal="center" vertical="center"/>
    </xf>
    <xf numFmtId="1" fontId="28" fillId="13" borderId="19" xfId="0" applyNumberFormat="1" applyFont="1" applyFill="1" applyBorder="1" applyAlignment="1">
      <alignment horizontal="center" vertical="center"/>
    </xf>
    <xf numFmtId="1" fontId="28" fillId="13" borderId="25" xfId="0" applyNumberFormat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79" fillId="0" borderId="0" xfId="0" applyFont="1"/>
    <xf numFmtId="0" fontId="40" fillId="0" borderId="0" xfId="0" applyFont="1" applyAlignment="1">
      <alignment wrapText="1"/>
    </xf>
    <xf numFmtId="0" fontId="59" fillId="3" borderId="11" xfId="0" applyFont="1" applyFill="1" applyBorder="1" applyAlignment="1">
      <alignment horizontal="left" vertical="center"/>
    </xf>
    <xf numFmtId="0" fontId="59" fillId="3" borderId="12" xfId="0" applyFont="1" applyFill="1" applyBorder="1" applyAlignment="1">
      <alignment horizontal="center" vertical="center"/>
    </xf>
    <xf numFmtId="0" fontId="59" fillId="3" borderId="13" xfId="0" applyFont="1" applyFill="1" applyBorder="1" applyAlignment="1">
      <alignment horizontal="left" vertical="center"/>
    </xf>
    <xf numFmtId="0" fontId="69" fillId="0" borderId="6" xfId="0" applyFont="1" applyFill="1" applyBorder="1" applyAlignment="1">
      <alignment horizontal="left" vertical="center"/>
    </xf>
    <xf numFmtId="49" fontId="82" fillId="0" borderId="6" xfId="0" applyNumberFormat="1" applyFont="1" applyBorder="1" applyAlignment="1">
      <alignment horizontal="center" vertical="center"/>
    </xf>
    <xf numFmtId="49" fontId="60" fillId="0" borderId="12" xfId="0" applyNumberFormat="1" applyFont="1" applyFill="1" applyBorder="1" applyAlignment="1">
      <alignment horizontal="center" vertical="center"/>
    </xf>
    <xf numFmtId="1" fontId="60" fillId="0" borderId="13" xfId="0" applyNumberFormat="1" applyFont="1" applyFill="1" applyBorder="1" applyAlignment="1">
      <alignment horizontal="center" vertical="center"/>
    </xf>
    <xf numFmtId="0" fontId="59" fillId="4" borderId="11" xfId="0" applyFont="1" applyFill="1" applyBorder="1" applyAlignment="1">
      <alignment horizontal="left" vertical="center"/>
    </xf>
    <xf numFmtId="0" fontId="59" fillId="4" borderId="12" xfId="0" applyFont="1" applyFill="1" applyBorder="1" applyAlignment="1">
      <alignment horizontal="center" vertical="center"/>
    </xf>
    <xf numFmtId="0" fontId="59" fillId="4" borderId="13" xfId="0" applyFont="1" applyFill="1" applyBorder="1" applyAlignment="1">
      <alignment horizontal="left" vertical="center"/>
    </xf>
    <xf numFmtId="0" fontId="83" fillId="0" borderId="0" xfId="0" applyFont="1" applyAlignment="1">
      <alignment vertical="center"/>
    </xf>
    <xf numFmtId="0" fontId="72" fillId="0" borderId="0" xfId="0" applyFont="1" applyAlignment="1"/>
    <xf numFmtId="0" fontId="0" fillId="17" borderId="0" xfId="0" applyFill="1"/>
    <xf numFmtId="0" fontId="0" fillId="9" borderId="0" xfId="0" applyFill="1" applyAlignment="1">
      <alignment horizontal="center"/>
    </xf>
    <xf numFmtId="0" fontId="0" fillId="0" borderId="0" xfId="0" applyAlignment="1">
      <alignment horizontal="right"/>
    </xf>
    <xf numFmtId="0" fontId="1" fillId="17" borderId="0" xfId="0" applyNumberFormat="1" applyFont="1" applyFill="1" applyBorder="1" applyAlignment="1">
      <alignment horizontal="left"/>
    </xf>
    <xf numFmtId="0" fontId="1" fillId="17" borderId="0" xfId="0" quotePrefix="1" applyNumberFormat="1" applyFont="1" applyFill="1" applyBorder="1" applyAlignment="1">
      <alignment horizontal="left"/>
    </xf>
    <xf numFmtId="0" fontId="60" fillId="0" borderId="20" xfId="0" applyFont="1" applyBorder="1" applyAlignment="1" applyProtection="1">
      <alignment horizontal="center"/>
      <protection locked="0"/>
    </xf>
    <xf numFmtId="0" fontId="61" fillId="0" borderId="3" xfId="0" applyFont="1" applyBorder="1" applyAlignment="1"/>
    <xf numFmtId="0" fontId="3" fillId="0" borderId="0" xfId="0" applyFont="1" applyAlignment="1">
      <alignment vertical="center"/>
    </xf>
    <xf numFmtId="0" fontId="90" fillId="0" borderId="16" xfId="0" applyFont="1" applyFill="1" applyBorder="1" applyAlignment="1">
      <alignment horizontal="left" vertical="center"/>
    </xf>
    <xf numFmtId="0" fontId="90" fillId="0" borderId="16" xfId="0" applyFont="1" applyFill="1" applyBorder="1" applyAlignment="1">
      <alignment vertical="center"/>
    </xf>
    <xf numFmtId="0" fontId="91" fillId="0" borderId="20" xfId="0" applyNumberFormat="1" applyFont="1" applyBorder="1" applyAlignment="1">
      <alignment horizontal="center"/>
    </xf>
    <xf numFmtId="0" fontId="61" fillId="0" borderId="0" xfId="0" applyFont="1" applyBorder="1" applyAlignment="1"/>
    <xf numFmtId="0" fontId="4" fillId="0" borderId="0" xfId="0" applyFont="1" applyBorder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6" fillId="0" borderId="20" xfId="0" applyFont="1" applyFill="1" applyBorder="1" applyAlignment="1"/>
    <xf numFmtId="0" fontId="59" fillId="0" borderId="20" xfId="0" applyFont="1" applyFill="1" applyBorder="1" applyAlignment="1"/>
    <xf numFmtId="0" fontId="65" fillId="0" borderId="25" xfId="0" applyFont="1" applyFill="1" applyBorder="1" applyAlignment="1"/>
    <xf numFmtId="0" fontId="65" fillId="0" borderId="20" xfId="0" applyFont="1" applyFill="1" applyBorder="1" applyAlignment="1">
      <alignment horizontal="right"/>
    </xf>
    <xf numFmtId="0" fontId="76" fillId="0" borderId="25" xfId="0" applyFont="1" applyFill="1" applyBorder="1" applyAlignment="1"/>
    <xf numFmtId="0" fontId="76" fillId="0" borderId="20" xfId="0" applyFont="1" applyFill="1" applyBorder="1" applyAlignment="1" applyProtection="1">
      <alignment horizontal="left"/>
      <protection locked="0"/>
    </xf>
    <xf numFmtId="0" fontId="59" fillId="0" borderId="20" xfId="0" applyFont="1" applyFill="1" applyBorder="1" applyAlignment="1" applyProtection="1">
      <alignment horizontal="left"/>
      <protection locked="0"/>
    </xf>
    <xf numFmtId="0" fontId="76" fillId="0" borderId="20" xfId="0" applyFont="1" applyFill="1" applyBorder="1" applyAlignment="1" applyProtection="1">
      <protection locked="0"/>
    </xf>
    <xf numFmtId="0" fontId="76" fillId="0" borderId="25" xfId="0" applyFont="1" applyFill="1" applyBorder="1" applyAlignment="1" applyProtection="1">
      <protection locked="0"/>
    </xf>
    <xf numFmtId="0" fontId="59" fillId="0" borderId="20" xfId="0" applyFont="1" applyFill="1" applyBorder="1" applyAlignment="1" applyProtection="1">
      <protection locked="0"/>
    </xf>
    <xf numFmtId="0" fontId="65" fillId="0" borderId="25" xfId="0" applyFont="1" applyFill="1" applyBorder="1" applyAlignment="1" applyProtection="1">
      <alignment horizontal="right"/>
      <protection locked="0"/>
    </xf>
    <xf numFmtId="0" fontId="0" fillId="0" borderId="20" xfId="0" applyFont="1" applyFill="1" applyBorder="1" applyAlignment="1"/>
    <xf numFmtId="0" fontId="40" fillId="0" borderId="20" xfId="0" applyFont="1" applyFill="1" applyBorder="1" applyAlignment="1">
      <alignment horizontal="right"/>
    </xf>
    <xf numFmtId="0" fontId="0" fillId="0" borderId="25" xfId="0" applyFont="1" applyFill="1" applyBorder="1" applyAlignment="1"/>
    <xf numFmtId="0" fontId="61" fillId="0" borderId="20" xfId="0" applyFont="1" applyFill="1" applyBorder="1" applyAlignment="1"/>
    <xf numFmtId="0" fontId="61" fillId="0" borderId="25" xfId="0" applyFont="1" applyFill="1" applyBorder="1" applyAlignment="1"/>
    <xf numFmtId="0" fontId="95" fillId="0" borderId="20" xfId="0" applyFont="1" applyFill="1" applyBorder="1" applyAlignment="1" applyProtection="1">
      <alignment horizontal="left"/>
      <protection locked="0"/>
    </xf>
    <xf numFmtId="0" fontId="86" fillId="0" borderId="20" xfId="0" applyFont="1" applyFill="1" applyBorder="1" applyAlignment="1" applyProtection="1">
      <alignment horizontal="left"/>
      <protection locked="0"/>
    </xf>
    <xf numFmtId="0" fontId="89" fillId="0" borderId="25" xfId="0" applyFont="1" applyFill="1" applyBorder="1" applyAlignment="1" applyProtection="1">
      <alignment horizontal="center"/>
      <protection locked="0"/>
    </xf>
    <xf numFmtId="0" fontId="89" fillId="0" borderId="20" xfId="0" applyFont="1" applyFill="1" applyBorder="1" applyAlignment="1" applyProtection="1">
      <alignment horizontal="right"/>
      <protection locked="0"/>
    </xf>
    <xf numFmtId="0" fontId="94" fillId="0" borderId="20" xfId="1" applyFont="1" applyFill="1" applyBorder="1" applyAlignment="1" applyProtection="1">
      <alignment horizontal="left"/>
      <protection locked="0"/>
    </xf>
    <xf numFmtId="0" fontId="92" fillId="0" borderId="20" xfId="1" applyFont="1" applyFill="1" applyBorder="1" applyAlignment="1" applyProtection="1">
      <alignment horizontal="left"/>
      <protection locked="0"/>
    </xf>
    <xf numFmtId="0" fontId="96" fillId="0" borderId="20" xfId="1" applyFont="1" applyFill="1" applyBorder="1" applyAlignment="1" applyProtection="1">
      <alignment horizontal="right"/>
      <protection locked="0"/>
    </xf>
    <xf numFmtId="0" fontId="94" fillId="0" borderId="32" xfId="1" applyFont="1" applyFill="1" applyBorder="1" applyAlignment="1" applyProtection="1">
      <protection locked="0"/>
    </xf>
    <xf numFmtId="0" fontId="77" fillId="0" borderId="20" xfId="0" applyFont="1" applyBorder="1" applyAlignment="1"/>
    <xf numFmtId="0" fontId="77" fillId="0" borderId="25" xfId="0" applyFont="1" applyBorder="1" applyAlignment="1"/>
    <xf numFmtId="0" fontId="3" fillId="0" borderId="0" xfId="0" applyFont="1" applyAlignment="1">
      <alignment horizontal="center" vertical="center"/>
    </xf>
    <xf numFmtId="0" fontId="68" fillId="18" borderId="25" xfId="0" applyFont="1" applyFill="1" applyBorder="1" applyProtection="1"/>
    <xf numFmtId="0" fontId="61" fillId="18" borderId="20" xfId="0" applyFont="1" applyFill="1" applyBorder="1" applyAlignment="1"/>
    <xf numFmtId="0" fontId="65" fillId="18" borderId="25" xfId="0" applyFont="1" applyFill="1" applyBorder="1" applyAlignment="1">
      <alignment horizontal="center"/>
    </xf>
    <xf numFmtId="0" fontId="65" fillId="18" borderId="20" xfId="0" applyFont="1" applyFill="1" applyBorder="1" applyAlignment="1">
      <alignment horizontal="right"/>
    </xf>
    <xf numFmtId="0" fontId="61" fillId="18" borderId="25" xfId="0" applyFont="1" applyFill="1" applyBorder="1" applyAlignment="1"/>
    <xf numFmtId="0" fontId="1" fillId="0" borderId="0" xfId="0" applyFont="1"/>
    <xf numFmtId="0" fontId="65" fillId="0" borderId="0" xfId="0" applyFont="1" applyFill="1" applyProtection="1"/>
    <xf numFmtId="0" fontId="0" fillId="9" borderId="52" xfId="0" applyFill="1" applyBorder="1" applyAlignment="1">
      <alignment horizontal="left"/>
    </xf>
    <xf numFmtId="0" fontId="1" fillId="9" borderId="52" xfId="0" applyFont="1" applyFill="1" applyBorder="1" applyAlignment="1">
      <alignment horizontal="center"/>
    </xf>
    <xf numFmtId="0" fontId="25" fillId="4" borderId="19" xfId="0" applyFont="1" applyFill="1" applyBorder="1" applyAlignment="1">
      <alignment horizontal="center"/>
    </xf>
    <xf numFmtId="0" fontId="0" fillId="0" borderId="0" xfId="0" applyAlignment="1"/>
    <xf numFmtId="0" fontId="63" fillId="0" borderId="19" xfId="0" applyFont="1" applyFill="1" applyBorder="1" applyAlignment="1" applyProtection="1">
      <alignment horizontal="left"/>
      <protection locked="0"/>
    </xf>
    <xf numFmtId="0" fontId="63" fillId="0" borderId="19" xfId="0" applyFont="1" applyFill="1" applyBorder="1" applyAlignment="1" applyProtection="1">
      <protection locked="0"/>
    </xf>
    <xf numFmtId="0" fontId="63" fillId="18" borderId="19" xfId="0" applyFont="1" applyFill="1" applyBorder="1" applyAlignment="1" applyProtection="1">
      <protection locked="0"/>
    </xf>
    <xf numFmtId="0" fontId="99" fillId="0" borderId="19" xfId="0" applyFont="1" applyFill="1" applyBorder="1" applyAlignment="1" applyProtection="1">
      <alignment horizontal="left"/>
      <protection locked="0"/>
    </xf>
    <xf numFmtId="0" fontId="98" fillId="0" borderId="19" xfId="1" applyFont="1" applyFill="1" applyBorder="1" applyAlignment="1" applyProtection="1">
      <alignment horizontal="left"/>
      <protection locked="0"/>
    </xf>
    <xf numFmtId="0" fontId="63" fillId="0" borderId="19" xfId="0" applyFont="1" applyBorder="1" applyAlignment="1" applyProtection="1">
      <protection locked="0"/>
    </xf>
    <xf numFmtId="0" fontId="65" fillId="0" borderId="20" xfId="0" applyFont="1" applyFill="1" applyBorder="1" applyAlignment="1"/>
    <xf numFmtId="0" fontId="68" fillId="0" borderId="19" xfId="0" applyFont="1" applyFill="1" applyBorder="1" applyAlignment="1" applyProtection="1">
      <alignment horizontal="left"/>
      <protection locked="0"/>
    </xf>
    <xf numFmtId="0" fontId="68" fillId="0" borderId="20" xfId="0" applyFont="1" applyFill="1" applyBorder="1" applyProtection="1">
      <protection locked="0"/>
    </xf>
    <xf numFmtId="20" fontId="68" fillId="0" borderId="25" xfId="0" applyNumberFormat="1" applyFont="1" applyFill="1" applyBorder="1" applyAlignment="1" applyProtection="1">
      <alignment horizontal="center"/>
    </xf>
    <xf numFmtId="0" fontId="77" fillId="0" borderId="20" xfId="0" applyFont="1" applyFill="1" applyBorder="1" applyAlignment="1" applyProtection="1">
      <alignment horizontal="left"/>
      <protection locked="0"/>
    </xf>
    <xf numFmtId="0" fontId="77" fillId="0" borderId="20" xfId="0" applyFont="1" applyFill="1" applyBorder="1" applyProtection="1">
      <protection locked="0"/>
    </xf>
    <xf numFmtId="0" fontId="77" fillId="0" borderId="20" xfId="0" applyFont="1" applyFill="1" applyBorder="1" applyProtection="1"/>
    <xf numFmtId="0" fontId="61" fillId="0" borderId="25" xfId="0" applyFont="1" applyFill="1" applyBorder="1" applyProtection="1"/>
    <xf numFmtId="0" fontId="0" fillId="0" borderId="0" xfId="0" applyAlignment="1">
      <alignment horizontal="left" vertical="center"/>
    </xf>
    <xf numFmtId="0" fontId="101" fillId="0" borderId="0" xfId="0" applyFont="1" applyAlignment="1">
      <alignment vertical="center"/>
    </xf>
    <xf numFmtId="0" fontId="101" fillId="0" borderId="0" xfId="0" applyFont="1" applyAlignment="1">
      <alignment horizontal="left" vertical="center"/>
    </xf>
    <xf numFmtId="0" fontId="19" fillId="0" borderId="16" xfId="0" applyFont="1" applyFill="1" applyBorder="1" applyAlignment="1">
      <alignment horizontal="left" vertical="center"/>
    </xf>
    <xf numFmtId="0" fontId="19" fillId="0" borderId="16" xfId="0" applyFont="1" applyFill="1" applyBorder="1" applyAlignment="1">
      <alignment vertical="center"/>
    </xf>
    <xf numFmtId="0" fontId="1" fillId="11" borderId="11" xfId="0" applyFont="1" applyFill="1" applyBorder="1" applyAlignment="1"/>
    <xf numFmtId="0" fontId="19" fillId="11" borderId="16" xfId="0" applyFont="1" applyFill="1" applyBorder="1" applyAlignment="1">
      <alignment horizontal="left" vertical="center"/>
    </xf>
    <xf numFmtId="0" fontId="19" fillId="11" borderId="16" xfId="0" applyFont="1" applyFill="1" applyBorder="1" applyAlignment="1">
      <alignment vertical="center"/>
    </xf>
    <xf numFmtId="0" fontId="1" fillId="10" borderId="11" xfId="0" applyFont="1" applyFill="1" applyBorder="1" applyAlignment="1"/>
    <xf numFmtId="0" fontId="19" fillId="10" borderId="16" xfId="0" applyFont="1" applyFill="1" applyBorder="1" applyAlignment="1">
      <alignment vertical="center"/>
    </xf>
    <xf numFmtId="0" fontId="19" fillId="10" borderId="16" xfId="0" applyFont="1" applyFill="1" applyBorder="1" applyAlignment="1">
      <alignment horizontal="left" vertical="center"/>
    </xf>
    <xf numFmtId="0" fontId="94" fillId="0" borderId="53" xfId="1" applyFont="1" applyFill="1" applyBorder="1" applyAlignment="1" applyProtection="1">
      <alignment horizontal="left"/>
      <protection locked="0"/>
    </xf>
    <xf numFmtId="0" fontId="92" fillId="0" borderId="53" xfId="1" applyFont="1" applyFill="1" applyBorder="1" applyAlignment="1" applyProtection="1">
      <alignment horizontal="left"/>
      <protection locked="0"/>
    </xf>
    <xf numFmtId="0" fontId="96" fillId="0" borderId="54" xfId="1" applyFont="1" applyFill="1" applyBorder="1" applyAlignment="1" applyProtection="1">
      <alignment horizontal="left"/>
      <protection locked="0"/>
    </xf>
    <xf numFmtId="0" fontId="98" fillId="0" borderId="56" xfId="1" applyFont="1" applyFill="1" applyBorder="1" applyAlignment="1" applyProtection="1">
      <alignment horizontal="left"/>
      <protection locked="0"/>
    </xf>
    <xf numFmtId="0" fontId="81" fillId="0" borderId="3" xfId="0" applyFont="1" applyBorder="1" applyAlignment="1" applyProtection="1">
      <alignment horizontal="left"/>
      <protection locked="0"/>
    </xf>
    <xf numFmtId="0" fontId="60" fillId="0" borderId="20" xfId="0" applyFont="1" applyBorder="1" applyAlignment="1" applyProtection="1">
      <alignment horizontal="left"/>
      <protection locked="0"/>
    </xf>
    <xf numFmtId="1" fontId="28" fillId="0" borderId="19" xfId="0" applyNumberFormat="1" applyFont="1" applyBorder="1" applyAlignment="1">
      <alignment horizontal="right" vertical="center"/>
    </xf>
    <xf numFmtId="0" fontId="0" fillId="0" borderId="20" xfId="0" applyFont="1" applyBorder="1" applyAlignment="1">
      <alignment horizontal="right" vertical="center"/>
    </xf>
    <xf numFmtId="0" fontId="73" fillId="0" borderId="20" xfId="0" applyFont="1" applyBorder="1" applyAlignment="1" applyProtection="1">
      <alignment vertical="center"/>
      <protection locked="0"/>
    </xf>
    <xf numFmtId="0" fontId="0" fillId="0" borderId="20" xfId="0" applyBorder="1" applyAlignment="1"/>
    <xf numFmtId="0" fontId="0" fillId="0" borderId="25" xfId="0" applyBorder="1" applyAlignment="1"/>
    <xf numFmtId="0" fontId="0" fillId="0" borderId="29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21" xfId="0" applyFont="1" applyBorder="1" applyAlignment="1"/>
    <xf numFmtId="0" fontId="87" fillId="0" borderId="19" xfId="0" applyNumberFormat="1" applyFont="1" applyFill="1" applyBorder="1" applyAlignment="1" applyProtection="1">
      <alignment horizontal="center"/>
      <protection locked="0"/>
    </xf>
    <xf numFmtId="0" fontId="87" fillId="0" borderId="20" xfId="0" applyNumberFormat="1" applyFont="1" applyFill="1" applyBorder="1" applyAlignment="1">
      <alignment horizontal="center"/>
    </xf>
    <xf numFmtId="0" fontId="87" fillId="0" borderId="25" xfId="0" applyNumberFormat="1" applyFont="1" applyFill="1" applyBorder="1" applyAlignment="1">
      <alignment horizontal="center"/>
    </xf>
    <xf numFmtId="0" fontId="91" fillId="0" borderId="19" xfId="0" applyNumberFormat="1" applyFont="1" applyFill="1" applyBorder="1" applyAlignment="1" applyProtection="1">
      <alignment horizontal="center"/>
      <protection locked="0"/>
    </xf>
    <xf numFmtId="0" fontId="91" fillId="0" borderId="20" xfId="0" applyNumberFormat="1" applyFont="1" applyFill="1" applyBorder="1" applyAlignment="1">
      <alignment horizontal="center"/>
    </xf>
    <xf numFmtId="0" fontId="91" fillId="0" borderId="25" xfId="0" applyNumberFormat="1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53" fillId="0" borderId="3" xfId="0" applyFont="1" applyBorder="1" applyAlignment="1" applyProtection="1">
      <protection locked="0"/>
    </xf>
    <xf numFmtId="0" fontId="0" fillId="0" borderId="3" xfId="0" applyBorder="1" applyAlignment="1"/>
    <xf numFmtId="0" fontId="59" fillId="0" borderId="3" xfId="0" applyFont="1" applyBorder="1" applyAlignment="1" applyProtection="1">
      <protection locked="0"/>
    </xf>
    <xf numFmtId="0" fontId="67" fillId="0" borderId="3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33" xfId="0" applyBorder="1" applyAlignment="1"/>
    <xf numFmtId="0" fontId="88" fillId="0" borderId="19" xfId="0" applyFont="1" applyFill="1" applyBorder="1" applyAlignment="1" applyProtection="1">
      <alignment horizontal="center"/>
      <protection locked="0"/>
    </xf>
    <xf numFmtId="0" fontId="88" fillId="0" borderId="20" xfId="0" applyFont="1" applyFill="1" applyBorder="1" applyAlignment="1" applyProtection="1">
      <alignment horizontal="center"/>
      <protection locked="0"/>
    </xf>
    <xf numFmtId="0" fontId="88" fillId="0" borderId="25" xfId="0" applyFont="1" applyFill="1" applyBorder="1" applyAlignment="1" applyProtection="1">
      <alignment horizontal="center"/>
      <protection locked="0"/>
    </xf>
    <xf numFmtId="0" fontId="0" fillId="0" borderId="19" xfId="0" applyBorder="1" applyAlignment="1"/>
    <xf numFmtId="49" fontId="80" fillId="0" borderId="19" xfId="0" applyNumberFormat="1" applyFont="1" applyBorder="1" applyAlignment="1" applyProtection="1">
      <protection locked="0"/>
    </xf>
    <xf numFmtId="49" fontId="0" fillId="0" borderId="20" xfId="0" applyNumberFormat="1" applyFont="1" applyBorder="1" applyAlignment="1"/>
    <xf numFmtId="49" fontId="0" fillId="0" borderId="25" xfId="0" applyNumberFormat="1" applyFont="1" applyBorder="1" applyAlignment="1"/>
    <xf numFmtId="0" fontId="87" fillId="0" borderId="19" xfId="0" applyFont="1" applyFill="1" applyBorder="1" applyAlignment="1" applyProtection="1">
      <alignment horizontal="center"/>
      <protection locked="0"/>
    </xf>
    <xf numFmtId="0" fontId="85" fillId="0" borderId="25" xfId="0" applyFont="1" applyFill="1" applyBorder="1" applyAlignment="1" applyProtection="1">
      <alignment horizontal="center"/>
      <protection locked="0"/>
    </xf>
    <xf numFmtId="0" fontId="91" fillId="0" borderId="19" xfId="0" applyFont="1" applyFill="1" applyBorder="1" applyAlignment="1" applyProtection="1">
      <alignment horizontal="center"/>
      <protection locked="0"/>
    </xf>
    <xf numFmtId="0" fontId="91" fillId="0" borderId="25" xfId="0" applyFont="1" applyFill="1" applyBorder="1" applyAlignment="1">
      <alignment horizontal="center"/>
    </xf>
    <xf numFmtId="0" fontId="76" fillId="18" borderId="19" xfId="0" applyFont="1" applyFill="1" applyBorder="1" applyAlignment="1" applyProtection="1">
      <alignment horizontal="center"/>
      <protection locked="0"/>
    </xf>
    <xf numFmtId="0" fontId="61" fillId="18" borderId="20" xfId="0" applyFont="1" applyFill="1" applyBorder="1" applyAlignment="1">
      <alignment horizontal="center"/>
    </xf>
    <xf numFmtId="0" fontId="61" fillId="18" borderId="25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/>
    <xf numFmtId="0" fontId="0" fillId="0" borderId="18" xfId="0" applyBorder="1" applyAlignment="1"/>
    <xf numFmtId="0" fontId="29" fillId="3" borderId="7" xfId="0" applyFont="1" applyFill="1" applyBorder="1" applyAlignment="1">
      <alignment horizontal="left" indent="1"/>
    </xf>
    <xf numFmtId="0" fontId="29" fillId="3" borderId="2" xfId="0" applyFont="1" applyFill="1" applyBorder="1" applyAlignment="1">
      <alignment horizontal="left" indent="1"/>
    </xf>
    <xf numFmtId="0" fontId="30" fillId="0" borderId="2" xfId="0" applyFont="1" applyBorder="1" applyAlignment="1">
      <alignment horizontal="left" indent="1"/>
    </xf>
    <xf numFmtId="0" fontId="30" fillId="0" borderId="1" xfId="0" applyFont="1" applyBorder="1" applyAlignment="1">
      <alignment horizontal="left" indent="1"/>
    </xf>
    <xf numFmtId="0" fontId="14" fillId="0" borderId="29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5" fillId="0" borderId="35" xfId="0" applyFont="1" applyFill="1" applyBorder="1" applyAlignment="1">
      <alignment horizontal="center" vertical="center"/>
    </xf>
    <xf numFmtId="0" fontId="0" fillId="0" borderId="36" xfId="0" applyBorder="1" applyAlignment="1"/>
    <xf numFmtId="0" fontId="29" fillId="0" borderId="7" xfId="0" applyFont="1" applyBorder="1" applyAlignment="1">
      <alignment horizontal="left" indent="1"/>
    </xf>
    <xf numFmtId="0" fontId="0" fillId="0" borderId="21" xfId="0" applyBorder="1" applyAlignment="1">
      <alignment horizontal="center"/>
    </xf>
    <xf numFmtId="0" fontId="29" fillId="0" borderId="2" xfId="0" applyFont="1" applyBorder="1" applyAlignment="1">
      <alignment horizontal="left" indent="1"/>
    </xf>
    <xf numFmtId="0" fontId="29" fillId="0" borderId="1" xfId="0" applyFont="1" applyBorder="1" applyAlignment="1">
      <alignment horizontal="left" indent="1"/>
    </xf>
    <xf numFmtId="0" fontId="41" fillId="7" borderId="7" xfId="0" applyFont="1" applyFill="1" applyBorder="1" applyAlignment="1">
      <alignment horizontal="left"/>
    </xf>
    <xf numFmtId="0" fontId="0" fillId="7" borderId="2" xfId="0" applyFill="1" applyBorder="1" applyAlignment="1"/>
    <xf numFmtId="0" fontId="0" fillId="7" borderId="1" xfId="0" applyFill="1" applyBorder="1" applyAlignment="1"/>
    <xf numFmtId="0" fontId="1" fillId="0" borderId="3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center"/>
    </xf>
    <xf numFmtId="14" fontId="43" fillId="0" borderId="20" xfId="0" applyNumberFormat="1" applyFont="1" applyBorder="1" applyAlignment="1" applyProtection="1">
      <alignment horizontal="center"/>
      <protection locked="0"/>
    </xf>
    <xf numFmtId="0" fontId="29" fillId="4" borderId="7" xfId="0" applyFont="1" applyFill="1" applyBorder="1" applyAlignment="1">
      <alignment horizontal="left" indent="1"/>
    </xf>
    <xf numFmtId="0" fontId="29" fillId="4" borderId="2" xfId="0" applyFont="1" applyFill="1" applyBorder="1" applyAlignment="1">
      <alignment horizontal="left" indent="1"/>
    </xf>
    <xf numFmtId="0" fontId="91" fillId="0" borderId="19" xfId="0" applyFont="1" applyBorder="1" applyAlignment="1" applyProtection="1">
      <alignment horizontal="center"/>
      <protection locked="0"/>
    </xf>
    <xf numFmtId="0" fontId="91" fillId="0" borderId="25" xfId="0" applyFont="1" applyBorder="1" applyAlignment="1">
      <alignment horizontal="center"/>
    </xf>
    <xf numFmtId="0" fontId="91" fillId="0" borderId="20" xfId="0" applyFont="1" applyFill="1" applyBorder="1" applyAlignment="1">
      <alignment horizontal="center"/>
    </xf>
    <xf numFmtId="0" fontId="93" fillId="0" borderId="50" xfId="1" applyNumberFormat="1" applyFont="1" applyFill="1" applyBorder="1" applyAlignment="1" applyProtection="1">
      <alignment horizontal="center"/>
      <protection locked="0"/>
    </xf>
    <xf numFmtId="0" fontId="93" fillId="0" borderId="50" xfId="1" applyFont="1" applyFill="1" applyBorder="1" applyAlignment="1" applyProtection="1">
      <alignment horizontal="center"/>
      <protection locked="0"/>
    </xf>
    <xf numFmtId="0" fontId="84" fillId="0" borderId="3" xfId="0" applyFont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91" fillId="0" borderId="20" xfId="0" applyNumberFormat="1" applyFont="1" applyFill="1" applyBorder="1" applyAlignment="1" applyProtection="1">
      <alignment horizontal="center"/>
      <protection locked="0"/>
    </xf>
    <xf numFmtId="0" fontId="91" fillId="0" borderId="25" xfId="0" applyNumberFormat="1" applyFont="1" applyFill="1" applyBorder="1" applyAlignment="1" applyProtection="1">
      <alignment horizontal="center"/>
      <protection locked="0"/>
    </xf>
    <xf numFmtId="0" fontId="93" fillId="0" borderId="55" xfId="1" applyFont="1" applyFill="1" applyBorder="1" applyAlignment="1" applyProtection="1">
      <alignment horizontal="center"/>
      <protection locked="0"/>
    </xf>
    <xf numFmtId="0" fontId="91" fillId="0" borderId="25" xfId="0" applyFont="1" applyFill="1" applyBorder="1" applyAlignment="1" applyProtection="1">
      <alignment horizontal="center"/>
      <protection locked="0"/>
    </xf>
    <xf numFmtId="0" fontId="85" fillId="0" borderId="19" xfId="0" applyFont="1" applyFill="1" applyBorder="1" applyAlignment="1" applyProtection="1">
      <alignment horizontal="center"/>
      <protection locked="0"/>
    </xf>
    <xf numFmtId="0" fontId="85" fillId="0" borderId="20" xfId="0" applyFont="1" applyFill="1" applyBorder="1" applyAlignment="1" applyProtection="1">
      <alignment horizontal="center"/>
      <protection locked="0"/>
    </xf>
    <xf numFmtId="0" fontId="85" fillId="0" borderId="22" xfId="0" applyFont="1" applyFill="1" applyBorder="1" applyAlignment="1" applyProtection="1">
      <alignment horizontal="center"/>
      <protection locked="0"/>
    </xf>
    <xf numFmtId="0" fontId="85" fillId="0" borderId="24" xfId="0" applyFont="1" applyFill="1" applyBorder="1" applyAlignment="1" applyProtection="1">
      <alignment horizontal="center"/>
      <protection locked="0"/>
    </xf>
    <xf numFmtId="0" fontId="85" fillId="0" borderId="23" xfId="0" applyFont="1" applyFill="1" applyBorder="1" applyAlignment="1" applyProtection="1">
      <alignment horizontal="center"/>
      <protection locked="0"/>
    </xf>
    <xf numFmtId="0" fontId="97" fillId="0" borderId="51" xfId="0" applyFont="1" applyBorder="1" applyAlignment="1">
      <alignment horizontal="center"/>
    </xf>
    <xf numFmtId="0" fontId="39" fillId="0" borderId="39" xfId="0" applyNumberFormat="1" applyFont="1" applyBorder="1" applyAlignment="1">
      <alignment horizontal="center" vertical="center"/>
    </xf>
    <xf numFmtId="0" fontId="40" fillId="0" borderId="37" xfId="0" applyNumberFormat="1" applyFont="1" applyBorder="1" applyAlignment="1">
      <alignment horizontal="center" vertical="center"/>
    </xf>
    <xf numFmtId="0" fontId="40" fillId="0" borderId="38" xfId="0" applyNumberFormat="1" applyFont="1" applyBorder="1" applyAlignment="1">
      <alignment horizontal="center" vertical="center"/>
    </xf>
    <xf numFmtId="0" fontId="40" fillId="0" borderId="40" xfId="0" applyNumberFormat="1" applyFont="1" applyBorder="1" applyAlignment="1">
      <alignment horizontal="center" vertical="center"/>
    </xf>
    <xf numFmtId="0" fontId="40" fillId="0" borderId="41" xfId="0" applyNumberFormat="1" applyFont="1" applyBorder="1" applyAlignment="1">
      <alignment horizontal="center" vertical="center"/>
    </xf>
    <xf numFmtId="0" fontId="40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43" xfId="0" applyNumberFormat="1" applyBorder="1" applyAlignment="1">
      <alignment horizontal="center" vertical="center"/>
    </xf>
    <xf numFmtId="0" fontId="0" fillId="0" borderId="40" xfId="0" applyNumberForma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0" fontId="0" fillId="0" borderId="44" xfId="0" applyNumberForma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Border="1" applyAlignment="1"/>
    <xf numFmtId="0" fontId="39" fillId="16" borderId="7" xfId="0" applyFont="1" applyFill="1" applyBorder="1" applyAlignment="1">
      <alignment horizontal="left" vertical="top" wrapText="1"/>
    </xf>
    <xf numFmtId="0" fontId="0" fillId="16" borderId="2" xfId="0" applyFill="1" applyBorder="1" applyAlignment="1">
      <alignment horizontal="left" vertical="top" wrapText="1"/>
    </xf>
    <xf numFmtId="0" fontId="0" fillId="16" borderId="1" xfId="0" applyFill="1" applyBorder="1" applyAlignment="1">
      <alignment horizontal="left" vertical="top" wrapText="1"/>
    </xf>
    <xf numFmtId="0" fontId="20" fillId="16" borderId="7" xfId="0" applyFont="1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/>
    </xf>
    <xf numFmtId="0" fontId="17" fillId="0" borderId="38" xfId="0" applyFont="1" applyBorder="1" applyAlignment="1">
      <alignment horizontal="center"/>
    </xf>
  </cellXfs>
  <cellStyles count="2">
    <cellStyle name="Excel Built-in Normal" xfId="1"/>
    <cellStyle name="Normální" xfId="0" builtinId="0"/>
  </cellStyles>
  <dxfs count="9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99FFCC"/>
      <color rgb="FFA6A6A6"/>
      <color rgb="FF8EFE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25400</xdr:colOff>
      <xdr:row>1</xdr:row>
      <xdr:rowOff>16934</xdr:rowOff>
    </xdr:from>
    <xdr:to>
      <xdr:col>33</xdr:col>
      <xdr:colOff>369979</xdr:colOff>
      <xdr:row>1</xdr:row>
      <xdr:rowOff>376934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93134"/>
          <a:ext cx="344579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25400</xdr:colOff>
      <xdr:row>3</xdr:row>
      <xdr:rowOff>0</xdr:rowOff>
    </xdr:from>
    <xdr:to>
      <xdr:col>33</xdr:col>
      <xdr:colOff>357145</xdr:colOff>
      <xdr:row>10</xdr:row>
      <xdr:rowOff>25401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1200" y="575733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1</xdr:col>
      <xdr:colOff>50800</xdr:colOff>
      <xdr:row>106</xdr:row>
      <xdr:rowOff>93134</xdr:rowOff>
    </xdr:from>
    <xdr:to>
      <xdr:col>33</xdr:col>
      <xdr:colOff>397933</xdr:colOff>
      <xdr:row>111</xdr:row>
      <xdr:rowOff>44849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6400" y="21827067"/>
          <a:ext cx="6951133" cy="79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1"/>
  <sheetViews>
    <sheetView showGridLines="0" tabSelected="1" zoomScale="90" zoomScaleNormal="90" workbookViewId="0">
      <selection activeCell="AI50" sqref="AI50"/>
    </sheetView>
  </sheetViews>
  <sheetFormatPr defaultRowHeight="13.2"/>
  <cols>
    <col min="1" max="1" width="5.21875" customWidth="1"/>
    <col min="2" max="2" width="22.2187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1.4414062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3" width="3" customWidth="1"/>
    <col min="24" max="24" width="2.77734375" customWidth="1"/>
    <col min="25" max="25" width="0.77734375" customWidth="1"/>
    <col min="26" max="26" width="2.88671875" customWidth="1"/>
    <col min="27" max="27" width="2.77734375" customWidth="1"/>
    <col min="28" max="28" width="0.77734375" customWidth="1"/>
    <col min="29" max="29" width="2.88671875" customWidth="1"/>
    <col min="30" max="30" width="5" customWidth="1"/>
    <col min="31" max="31" width="3.77734375" style="2" customWidth="1"/>
    <col min="32" max="32" width="0.77734375" customWidth="1"/>
    <col min="33" max="33" width="4.21875" style="2" customWidth="1"/>
    <col min="34" max="34" width="6.44140625" customWidth="1"/>
    <col min="35" max="35" width="7.77734375" customWidth="1"/>
    <col min="36" max="36" width="10.88671875" bestFit="1" customWidth="1"/>
    <col min="37" max="37" width="42.88671875" customWidth="1"/>
    <col min="38" max="38" width="9" customWidth="1"/>
    <col min="39" max="39" width="6.44140625" style="39" hidden="1" customWidth="1"/>
    <col min="40" max="40" width="14.109375" style="39" hidden="1" customWidth="1"/>
    <col min="41" max="41" width="6.44140625" style="39" hidden="1" customWidth="1"/>
    <col min="42" max="42" width="10.109375" style="39" hidden="1" customWidth="1"/>
    <col min="43" max="43" width="6.44140625" style="39" hidden="1" customWidth="1"/>
    <col min="44" max="44" width="10.5546875" style="39" hidden="1" customWidth="1"/>
    <col min="45" max="45" width="3.77734375" style="39" hidden="1" customWidth="1"/>
    <col min="46" max="46" width="11.44140625" style="39" hidden="1" customWidth="1"/>
    <col min="47" max="47" width="4.6640625" style="39" hidden="1" customWidth="1"/>
    <col min="48" max="48" width="1.88671875" style="39" hidden="1" customWidth="1"/>
    <col min="49" max="50" width="5.6640625" style="39" hidden="1" customWidth="1"/>
    <col min="51" max="51" width="1.5546875" style="39" hidden="1" customWidth="1"/>
    <col min="52" max="57" width="5.6640625" style="39" hidden="1" customWidth="1"/>
    <col min="58" max="58" width="3.21875" style="39" hidden="1" customWidth="1"/>
    <col min="59" max="62" width="11.77734375" hidden="1" customWidth="1"/>
    <col min="63" max="63" width="12.33203125" style="39" hidden="1" customWidth="1"/>
    <col min="64" max="64" width="8.77734375" style="39" customWidth="1"/>
    <col min="65" max="72" width="8.77734375" customWidth="1"/>
  </cols>
  <sheetData>
    <row r="1" spans="1:62" ht="6" customHeight="1" thickBot="1">
      <c r="AE1"/>
      <c r="AG1"/>
    </row>
    <row r="2" spans="1:62" ht="31.5" customHeight="1" thickBot="1">
      <c r="A2" s="44" t="str">
        <f>INDEX(BG5:BI5,$AJ$4)</f>
        <v xml:space="preserve">PROTOKOL - ČESKÝ SVAZ CYKLISTIKY  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"/>
      <c r="AJ2" s="57" t="str">
        <f>INDEX(BG4:BI4,$AJ$4)</f>
        <v>MIMO OBLAST TISKU</v>
      </c>
      <c r="AK2" s="58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6"/>
      <c r="BG2" s="97" t="str">
        <f>INDEX(BG3:BI3,$AJ$4)</f>
        <v>Prosím pro jazyk zadejte číslo v buňce $AL$2 (CZ=1, D=2, EN=3 )</v>
      </c>
      <c r="BH2" s="98"/>
      <c r="BI2" s="98"/>
      <c r="BJ2" s="98"/>
    </row>
    <row r="3" spans="1:62" ht="8.25" customHeight="1" thickBot="1">
      <c r="A3" s="5"/>
      <c r="B3" s="5"/>
      <c r="C3" s="5"/>
      <c r="D3" s="5"/>
      <c r="E3" s="5"/>
      <c r="F3" s="5"/>
      <c r="G3" s="5"/>
      <c r="H3" s="5"/>
      <c r="AE3"/>
      <c r="AG3"/>
      <c r="AL3" s="39"/>
      <c r="AM3" s="307" t="s">
        <v>232</v>
      </c>
      <c r="AN3" s="268">
        <v>5</v>
      </c>
      <c r="BF3" s="98"/>
      <c r="BG3" s="99" t="s">
        <v>228</v>
      </c>
      <c r="BH3" s="100" t="s">
        <v>63</v>
      </c>
      <c r="BI3" s="101" t="s">
        <v>64</v>
      </c>
    </row>
    <row r="4" spans="1:62" ht="20.100000000000001" customHeight="1" thickTop="1" thickBot="1">
      <c r="A4" s="5"/>
      <c r="B4" s="6" t="str">
        <f>INDEX(BG6:BI6,$AJ$4)</f>
        <v>o soutěži v kolové:</v>
      </c>
      <c r="C4" s="388" t="s">
        <v>299</v>
      </c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17"/>
      <c r="AE4" s="317"/>
      <c r="AF4" s="317"/>
      <c r="AG4" s="317"/>
      <c r="AH4" s="317"/>
      <c r="AJ4" s="96">
        <v>1</v>
      </c>
      <c r="AL4" s="39"/>
      <c r="AM4"/>
      <c r="AN4" s="268">
        <v>6</v>
      </c>
      <c r="BF4" s="98"/>
      <c r="BG4" s="102" t="s">
        <v>41</v>
      </c>
      <c r="BH4" s="102" t="s">
        <v>65</v>
      </c>
      <c r="BI4" s="102" t="s">
        <v>66</v>
      </c>
    </row>
    <row r="5" spans="1:62" ht="20.100000000000001" customHeight="1" thickTop="1">
      <c r="A5" s="5"/>
      <c r="B5" s="6" t="str">
        <f>INDEX(BG7:BI7,$AJ$4)</f>
        <v>konané dne:</v>
      </c>
      <c r="C5" s="454">
        <v>46137</v>
      </c>
      <c r="D5" s="454"/>
      <c r="E5" s="454"/>
      <c r="F5" s="454"/>
      <c r="G5" s="454"/>
      <c r="H5" s="454"/>
      <c r="I5" s="454"/>
      <c r="J5" s="454"/>
      <c r="K5" s="454"/>
      <c r="L5" s="19"/>
      <c r="M5" s="19"/>
      <c r="N5" s="19"/>
      <c r="O5" s="318" t="str">
        <f>INDEX(BG8:BI8,$AJ$4)</f>
        <v>v</v>
      </c>
      <c r="P5" s="19"/>
      <c r="Q5" s="389" t="s">
        <v>250</v>
      </c>
      <c r="R5" s="389"/>
      <c r="S5" s="389"/>
      <c r="T5" s="389"/>
      <c r="U5" s="389"/>
      <c r="V5" s="389"/>
      <c r="W5" s="389"/>
      <c r="X5" s="389"/>
      <c r="Y5" s="389"/>
      <c r="Z5" s="389"/>
      <c r="AA5" s="389"/>
      <c r="AB5" s="389"/>
      <c r="AC5" s="389"/>
      <c r="AD5" s="317"/>
      <c r="AE5"/>
      <c r="AF5" s="312"/>
      <c r="AG5"/>
      <c r="AJ5" s="97" t="str">
        <f>INDEX(BG3:BI3,$AJ$4)</f>
        <v>Prosím pro jazyk zadejte číslo v buňce $AL$2 (CZ=1, D=2, EN=3 )</v>
      </c>
      <c r="AK5" s="98"/>
      <c r="AL5" s="98"/>
      <c r="AM5"/>
      <c r="AN5" s="268">
        <v>7</v>
      </c>
      <c r="BF5" s="98"/>
      <c r="BG5" s="103" t="s">
        <v>22</v>
      </c>
      <c r="BH5" s="103" t="s">
        <v>67</v>
      </c>
      <c r="BI5" s="103" t="s">
        <v>68</v>
      </c>
    </row>
    <row r="6" spans="1:62" ht="20.100000000000001" customHeight="1">
      <c r="A6" s="5"/>
      <c r="B6" s="6" t="str">
        <f>INDEX(BG9:BI9,$AJ$4)</f>
        <v>tělovýchovnou jednotou - klubem:</v>
      </c>
      <c r="C6" s="5"/>
      <c r="D6" s="5"/>
      <c r="E6" s="5"/>
      <c r="F6" s="7"/>
      <c r="G6" s="8"/>
      <c r="H6" s="8"/>
      <c r="I6" s="9"/>
      <c r="J6" s="9"/>
      <c r="K6" s="462" t="s">
        <v>241</v>
      </c>
      <c r="L6" s="462"/>
      <c r="M6" s="462"/>
      <c r="N6" s="462"/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2"/>
      <c r="AA6" s="462"/>
      <c r="AB6" s="19"/>
      <c r="AC6" s="19"/>
      <c r="AE6"/>
      <c r="AG6"/>
      <c r="AL6" s="39"/>
      <c r="AM6" s="308" t="s">
        <v>233</v>
      </c>
      <c r="AN6" s="268"/>
      <c r="BF6" s="98"/>
      <c r="BG6" s="103" t="s">
        <v>48</v>
      </c>
      <c r="BH6" s="103" t="s">
        <v>69</v>
      </c>
      <c r="BI6" s="103" t="s">
        <v>70</v>
      </c>
    </row>
    <row r="7" spans="1:62" ht="20.100000000000001" customHeight="1">
      <c r="A7" s="5"/>
      <c r="B7" s="6" t="str">
        <f>INDEX(BG10:BI10,$AJ$4)</f>
        <v>hrací plocha:</v>
      </c>
      <c r="C7" s="405">
        <v>11</v>
      </c>
      <c r="D7" s="406"/>
      <c r="E7" s="148" t="s">
        <v>174</v>
      </c>
      <c r="F7" s="407">
        <v>14</v>
      </c>
      <c r="G7" s="408"/>
      <c r="H7" s="124" t="s">
        <v>175</v>
      </c>
      <c r="I7" s="146"/>
      <c r="J7" s="19"/>
      <c r="K7" s="17"/>
      <c r="L7" s="19"/>
      <c r="M7" s="2"/>
      <c r="N7" s="10"/>
      <c r="O7" s="2"/>
      <c r="P7" s="2"/>
      <c r="Q7" s="113" t="str">
        <f>INDEX(BG11:BI11,$AJ$4)</f>
        <v>doba hry:</v>
      </c>
      <c r="R7" s="126">
        <v>2</v>
      </c>
      <c r="S7" s="147"/>
      <c r="T7" s="126" t="s">
        <v>174</v>
      </c>
      <c r="U7" s="311">
        <v>5</v>
      </c>
      <c r="V7" s="127"/>
      <c r="W7" s="126" t="s">
        <v>176</v>
      </c>
      <c r="X7" s="126"/>
      <c r="Y7" s="128"/>
      <c r="Z7" s="128"/>
      <c r="AA7" s="19"/>
      <c r="AB7" s="19"/>
      <c r="AC7" s="19"/>
      <c r="AE7"/>
      <c r="AG7"/>
      <c r="AL7" s="39"/>
      <c r="AM7" s="306" t="s">
        <v>234</v>
      </c>
      <c r="AN7" s="306"/>
      <c r="BF7" s="98"/>
      <c r="BG7" s="103" t="s">
        <v>49</v>
      </c>
      <c r="BH7" s="103" t="s">
        <v>71</v>
      </c>
      <c r="BI7" s="103" t="s">
        <v>72</v>
      </c>
    </row>
    <row r="8" spans="1:62" ht="9" customHeight="1">
      <c r="AE8"/>
      <c r="AG8"/>
      <c r="AL8" s="39"/>
      <c r="AM8" s="308" t="s">
        <v>233</v>
      </c>
      <c r="AN8" s="309"/>
      <c r="BF8" s="98"/>
      <c r="BG8" s="103" t="s">
        <v>0</v>
      </c>
      <c r="BH8" s="103" t="s">
        <v>73</v>
      </c>
      <c r="BI8" s="103" t="s">
        <v>73</v>
      </c>
    </row>
    <row r="9" spans="1:62" ht="9" customHeight="1" thickBot="1">
      <c r="AE9"/>
      <c r="AG9"/>
      <c r="AL9" s="39"/>
      <c r="AM9"/>
      <c r="AN9" s="310" t="s">
        <v>235</v>
      </c>
      <c r="BF9" s="98"/>
      <c r="BG9" s="103" t="s">
        <v>50</v>
      </c>
      <c r="BH9" s="103" t="s">
        <v>74</v>
      </c>
      <c r="BI9" s="103" t="s">
        <v>75</v>
      </c>
    </row>
    <row r="10" spans="1:62" ht="24" customHeight="1" thickBot="1">
      <c r="A10" s="443" t="str">
        <f>INDEX(BG12:BI12,$AJ$4)</f>
        <v>Startující</v>
      </c>
      <c r="B10" s="436"/>
      <c r="C10" s="436"/>
      <c r="D10" s="436"/>
      <c r="E10" s="436"/>
      <c r="F10" s="436"/>
      <c r="G10" s="436"/>
      <c r="H10" s="437"/>
      <c r="AE10"/>
      <c r="AG10"/>
      <c r="AJ10" s="158"/>
      <c r="AL10" s="39"/>
      <c r="AM10"/>
      <c r="AN10" s="309" t="s">
        <v>236</v>
      </c>
      <c r="BF10" s="98"/>
      <c r="BG10" s="103" t="s">
        <v>46</v>
      </c>
      <c r="BH10" s="103" t="s">
        <v>76</v>
      </c>
      <c r="BI10" s="103" t="s">
        <v>77</v>
      </c>
    </row>
    <row r="11" spans="1:62" ht="8.25" customHeight="1" thickBot="1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AE11"/>
      <c r="AG11"/>
      <c r="AL11" s="39"/>
      <c r="AM11"/>
      <c r="AN11" s="309" t="s">
        <v>237</v>
      </c>
      <c r="BF11" s="98"/>
      <c r="BG11" s="103" t="s">
        <v>47</v>
      </c>
      <c r="BH11" s="103" t="s">
        <v>78</v>
      </c>
      <c r="BI11" s="103" t="s">
        <v>79</v>
      </c>
    </row>
    <row r="12" spans="1:62" ht="18.75" customHeight="1" thickBot="1">
      <c r="A12" s="114" t="s">
        <v>51</v>
      </c>
      <c r="B12" s="409" t="str">
        <f>INDEX(BG13:BI13,$AJ$4)</f>
        <v>Těl. spolek - klub</v>
      </c>
      <c r="C12" s="410"/>
      <c r="D12" s="410"/>
      <c r="E12" s="411"/>
      <c r="F12" s="450" t="str">
        <f>INDEX(BG14:BI14,$AJ$4)</f>
        <v>Jméno</v>
      </c>
      <c r="G12" s="409"/>
      <c r="H12" s="409"/>
      <c r="I12" s="409"/>
      <c r="J12" s="409"/>
      <c r="K12" s="409"/>
      <c r="L12" s="409"/>
      <c r="M12" s="409"/>
      <c r="N12" s="409"/>
      <c r="O12" s="463">
        <v>2026</v>
      </c>
      <c r="P12" s="463"/>
      <c r="Q12" s="464"/>
      <c r="R12" s="450" t="str">
        <f>INDEX(BG15:BI15,$AJ$4)</f>
        <v>UCI-ID</v>
      </c>
      <c r="S12" s="451"/>
      <c r="T12" s="451"/>
      <c r="U12" s="451"/>
      <c r="V12" s="452"/>
      <c r="W12" s="450" t="str">
        <f>INDEX(BG14:BI14,$AJ$4)</f>
        <v>Jméno</v>
      </c>
      <c r="X12" s="409"/>
      <c r="Y12" s="409"/>
      <c r="Z12" s="409"/>
      <c r="AA12" s="409"/>
      <c r="AB12" s="409"/>
      <c r="AC12" s="409"/>
      <c r="AD12" s="409"/>
      <c r="AE12" s="463">
        <v>2026</v>
      </c>
      <c r="AF12" s="464"/>
      <c r="AG12" s="450" t="str">
        <f>INDEX(BG15:BI15,$AJ$4)</f>
        <v>UCI-ID</v>
      </c>
      <c r="AH12" s="453"/>
      <c r="AJ12" s="57" t="s">
        <v>177</v>
      </c>
      <c r="AK12" s="58"/>
      <c r="AL12" s="39"/>
      <c r="AM12"/>
      <c r="AN12" s="309" t="s">
        <v>238</v>
      </c>
      <c r="BF12" s="98"/>
      <c r="BG12" s="103" t="s">
        <v>1</v>
      </c>
      <c r="BH12" s="103" t="s">
        <v>80</v>
      </c>
      <c r="BI12" s="104" t="s">
        <v>81</v>
      </c>
    </row>
    <row r="13" spans="1:62" ht="17.100000000000001" customHeight="1">
      <c r="A13" s="164">
        <v>1</v>
      </c>
      <c r="B13" s="165" t="str">
        <f>'Pořadí 10 Teams_2x5_Spielplan'!Q7</f>
        <v>MILO Olomouc 2</v>
      </c>
      <c r="C13" s="166"/>
      <c r="D13" s="166"/>
      <c r="E13" s="167"/>
      <c r="F13" s="359" t="s">
        <v>286</v>
      </c>
      <c r="G13" s="321"/>
      <c r="H13" s="322"/>
      <c r="I13" s="322"/>
      <c r="J13" s="322"/>
      <c r="K13" s="322"/>
      <c r="L13" s="322"/>
      <c r="M13" s="322"/>
      <c r="N13" s="322"/>
      <c r="O13" s="322"/>
      <c r="P13" s="322"/>
      <c r="Q13" s="323">
        <v>11</v>
      </c>
      <c r="R13" s="421">
        <v>10148287621</v>
      </c>
      <c r="S13" s="459"/>
      <c r="T13" s="459"/>
      <c r="U13" s="459"/>
      <c r="V13" s="422"/>
      <c r="W13" s="360" t="s">
        <v>287</v>
      </c>
      <c r="X13" s="321"/>
      <c r="Y13" s="321"/>
      <c r="Z13" s="321"/>
      <c r="AA13" s="321"/>
      <c r="AB13" s="321"/>
      <c r="AC13" s="321"/>
      <c r="AE13" s="365">
        <v>12</v>
      </c>
      <c r="AF13" s="325"/>
      <c r="AG13" s="421">
        <v>10135701162</v>
      </c>
      <c r="AH13" s="422"/>
      <c r="AI13" s="14"/>
      <c r="AJ13" s="90" t="s">
        <v>217</v>
      </c>
      <c r="AL13" s="39"/>
      <c r="AM13"/>
      <c r="AN13" s="309" t="s">
        <v>239</v>
      </c>
      <c r="BF13" s="98"/>
      <c r="BG13" s="103" t="s">
        <v>208</v>
      </c>
      <c r="BH13" s="103" t="s">
        <v>82</v>
      </c>
      <c r="BI13" s="103" t="s">
        <v>83</v>
      </c>
    </row>
    <row r="14" spans="1:62" ht="17.100000000000001" customHeight="1">
      <c r="A14" s="168">
        <v>2</v>
      </c>
      <c r="B14" s="169" t="str">
        <f>'Pořadí 10 Teams_2x5_Spielplan'!Q8</f>
        <v>Sokol Zlín-Prštné 2</v>
      </c>
      <c r="C14" s="170"/>
      <c r="D14" s="170"/>
      <c r="E14" s="171"/>
      <c r="F14" s="359" t="s">
        <v>289</v>
      </c>
      <c r="G14" s="321"/>
      <c r="H14" s="322"/>
      <c r="I14" s="322"/>
      <c r="J14" s="322"/>
      <c r="K14" s="322"/>
      <c r="L14" s="322"/>
      <c r="M14" s="322"/>
      <c r="N14" s="322"/>
      <c r="O14" s="322"/>
      <c r="P14" s="322"/>
      <c r="Q14" s="323">
        <v>9</v>
      </c>
      <c r="R14" s="401">
        <v>10173983729</v>
      </c>
      <c r="S14" s="402"/>
      <c r="T14" s="402"/>
      <c r="U14" s="402"/>
      <c r="V14" s="403"/>
      <c r="W14" s="360" t="s">
        <v>290</v>
      </c>
      <c r="X14" s="321"/>
      <c r="Y14" s="321"/>
      <c r="Z14" s="321"/>
      <c r="AA14" s="321"/>
      <c r="AB14" s="321"/>
      <c r="AC14" s="321"/>
      <c r="AD14" s="321"/>
      <c r="AE14" s="324">
        <v>15</v>
      </c>
      <c r="AF14" s="325"/>
      <c r="AG14" s="421">
        <v>10091960529</v>
      </c>
      <c r="AH14" s="422"/>
      <c r="AI14" s="14"/>
      <c r="AJ14" s="90" t="s">
        <v>216</v>
      </c>
      <c r="AL14" s="39"/>
      <c r="AM14"/>
      <c r="AN14" s="309" t="s">
        <v>240</v>
      </c>
      <c r="BF14" s="98"/>
      <c r="BG14" s="103" t="s">
        <v>207</v>
      </c>
      <c r="BH14" s="103" t="s">
        <v>84</v>
      </c>
      <c r="BI14" s="103" t="s">
        <v>85</v>
      </c>
    </row>
    <row r="15" spans="1:62" ht="17.100000000000001" customHeight="1">
      <c r="A15" s="168">
        <v>3</v>
      </c>
      <c r="B15" s="172" t="str">
        <f>'Pořadí 10 Teams_2x5_Spielplan'!Q9</f>
        <v>Sokol Šitbořice 1</v>
      </c>
      <c r="C15" s="170"/>
      <c r="D15" s="170"/>
      <c r="E15" s="171"/>
      <c r="F15" s="359" t="s">
        <v>279</v>
      </c>
      <c r="G15" s="321"/>
      <c r="H15" s="322"/>
      <c r="I15" s="322"/>
      <c r="J15" s="322"/>
      <c r="K15" s="322"/>
      <c r="L15" s="322"/>
      <c r="M15" s="322"/>
      <c r="N15" s="322"/>
      <c r="O15" s="322"/>
      <c r="P15" s="322"/>
      <c r="Q15" s="323">
        <v>11</v>
      </c>
      <c r="R15" s="398">
        <v>10157654383</v>
      </c>
      <c r="S15" s="399"/>
      <c r="T15" s="399"/>
      <c r="U15" s="399"/>
      <c r="V15" s="400"/>
      <c r="W15" s="360" t="s">
        <v>280</v>
      </c>
      <c r="X15" s="335"/>
      <c r="Y15" s="335"/>
      <c r="Z15" s="335"/>
      <c r="AA15" s="335"/>
      <c r="AB15" s="335"/>
      <c r="AC15" s="335"/>
      <c r="AD15" s="335"/>
      <c r="AE15" s="324">
        <v>14</v>
      </c>
      <c r="AF15" s="336"/>
      <c r="AG15" s="419">
        <v>10099764177</v>
      </c>
      <c r="AH15" s="420"/>
      <c r="AI15" s="15"/>
      <c r="AJ15" s="150"/>
      <c r="AL15" s="39"/>
      <c r="AM15"/>
      <c r="AN15" s="310" t="s">
        <v>241</v>
      </c>
      <c r="BF15" s="98"/>
      <c r="BG15" s="103" t="s">
        <v>248</v>
      </c>
      <c r="BH15" s="103" t="s">
        <v>248</v>
      </c>
      <c r="BI15" s="103" t="s">
        <v>248</v>
      </c>
    </row>
    <row r="16" spans="1:62" ht="17.100000000000001" customHeight="1">
      <c r="A16" s="168">
        <v>4</v>
      </c>
      <c r="B16" s="169" t="str">
        <f>'Pořadí 10 Teams_2x5_Spielplan'!Q10</f>
        <v>Start Plzeň</v>
      </c>
      <c r="C16" s="170"/>
      <c r="D16" s="170"/>
      <c r="E16" s="173"/>
      <c r="F16" s="359" t="s">
        <v>277</v>
      </c>
      <c r="G16" s="326"/>
      <c r="H16" s="327"/>
      <c r="I16" s="327"/>
      <c r="J16" s="327"/>
      <c r="K16" s="327"/>
      <c r="L16" s="327"/>
      <c r="M16" s="327"/>
      <c r="N16" s="327"/>
      <c r="O16" s="327"/>
      <c r="P16" s="327"/>
      <c r="Q16" s="323">
        <v>12</v>
      </c>
      <c r="R16" s="401">
        <v>10105623482</v>
      </c>
      <c r="S16" s="465"/>
      <c r="T16" s="465"/>
      <c r="U16" s="465"/>
      <c r="V16" s="466"/>
      <c r="W16" s="360" t="s">
        <v>278</v>
      </c>
      <c r="X16" s="328"/>
      <c r="Y16" s="328"/>
      <c r="Z16" s="328"/>
      <c r="AA16" s="328"/>
      <c r="AB16" s="328"/>
      <c r="AC16" s="328"/>
      <c r="AD16" s="328"/>
      <c r="AE16" s="324">
        <v>13</v>
      </c>
      <c r="AF16" s="329"/>
      <c r="AG16" s="421">
        <v>10123992959</v>
      </c>
      <c r="AH16" s="468"/>
      <c r="AI16" s="15"/>
      <c r="AJ16" s="150"/>
      <c r="AL16" s="39"/>
      <c r="AM16"/>
      <c r="AN16" s="309" t="s">
        <v>242</v>
      </c>
      <c r="BF16" s="98"/>
      <c r="BG16" s="103" t="s">
        <v>2</v>
      </c>
      <c r="BH16" s="103" t="s">
        <v>86</v>
      </c>
      <c r="BI16" s="103" t="s">
        <v>87</v>
      </c>
    </row>
    <row r="17" spans="1:64" ht="17.100000000000001" customHeight="1">
      <c r="A17" s="168">
        <v>5</v>
      </c>
      <c r="B17" s="169" t="str">
        <f>'Pořadí 10 Teams_2x5_Spielplan'!Q11</f>
        <v>Liberec - Chrastava</v>
      </c>
      <c r="C17" s="170"/>
      <c r="D17" s="170"/>
      <c r="E17" s="173"/>
      <c r="F17" s="360" t="s">
        <v>273</v>
      </c>
      <c r="G17" s="328"/>
      <c r="H17" s="330"/>
      <c r="I17" s="330"/>
      <c r="J17" s="330"/>
      <c r="K17" s="330"/>
      <c r="L17" s="330"/>
      <c r="M17" s="330"/>
      <c r="N17" s="330"/>
      <c r="O17" s="330"/>
      <c r="P17" s="327"/>
      <c r="Q17" s="331">
        <v>13</v>
      </c>
      <c r="R17" s="401">
        <v>10111258980</v>
      </c>
      <c r="S17" s="402"/>
      <c r="T17" s="402"/>
      <c r="U17" s="402"/>
      <c r="V17" s="403"/>
      <c r="W17" s="360" t="s">
        <v>274</v>
      </c>
      <c r="X17" s="332"/>
      <c r="Y17" s="332"/>
      <c r="Z17" s="332"/>
      <c r="AA17" s="332"/>
      <c r="AB17" s="332"/>
      <c r="AC17" s="332"/>
      <c r="AD17" s="332"/>
      <c r="AE17" s="333">
        <v>14</v>
      </c>
      <c r="AF17" s="334"/>
      <c r="AG17" s="421">
        <v>10159190421</v>
      </c>
      <c r="AH17" s="422"/>
      <c r="AJ17" s="149"/>
      <c r="AL17" s="39"/>
      <c r="AM17"/>
      <c r="AN17" s="310" t="s">
        <v>243</v>
      </c>
      <c r="BF17" s="98"/>
      <c r="BG17" s="103" t="s">
        <v>88</v>
      </c>
      <c r="BH17" s="103" t="s">
        <v>89</v>
      </c>
      <c r="BI17" s="103" t="s">
        <v>90</v>
      </c>
      <c r="BK17" s="39">
        <v>10159034918</v>
      </c>
    </row>
    <row r="18" spans="1:64" s="39" customFormat="1" ht="15" customHeight="1">
      <c r="A18" s="174" t="s">
        <v>52</v>
      </c>
      <c r="B18" s="175"/>
      <c r="C18" s="176"/>
      <c r="D18" s="176"/>
      <c r="E18" s="348"/>
      <c r="F18" s="361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50"/>
      <c r="R18" s="423"/>
      <c r="S18" s="424"/>
      <c r="T18" s="424"/>
      <c r="U18" s="424"/>
      <c r="V18" s="425"/>
      <c r="W18" s="361"/>
      <c r="X18" s="349"/>
      <c r="Y18" s="349"/>
      <c r="Z18" s="349"/>
      <c r="AA18" s="349"/>
      <c r="AB18" s="349"/>
      <c r="AC18" s="349"/>
      <c r="AD18" s="349"/>
      <c r="AE18" s="351"/>
      <c r="AF18" s="352"/>
      <c r="AG18" s="423"/>
      <c r="AH18" s="425"/>
      <c r="AI18" s="15"/>
      <c r="AJ18" s="354"/>
      <c r="AM18"/>
      <c r="AN18" s="309" t="s">
        <v>244</v>
      </c>
      <c r="BF18" s="98"/>
      <c r="BG18" s="103" t="s">
        <v>91</v>
      </c>
      <c r="BH18" s="103" t="s">
        <v>92</v>
      </c>
      <c r="BI18" s="103" t="s">
        <v>150</v>
      </c>
      <c r="BJ18"/>
      <c r="BK18" s="39">
        <v>10091960428</v>
      </c>
    </row>
    <row r="19" spans="1:64" ht="17.100000000000001" customHeight="1">
      <c r="A19" s="177">
        <v>6</v>
      </c>
      <c r="B19" s="172" t="str">
        <f>'Pořadí 10 Teams_2x5_Spielplan'!S7</f>
        <v>Sokol Šitbořice 2</v>
      </c>
      <c r="C19" s="170"/>
      <c r="D19" s="170"/>
      <c r="E19" s="173"/>
      <c r="F19" s="359" t="s">
        <v>281</v>
      </c>
      <c r="G19" s="321"/>
      <c r="H19" s="322"/>
      <c r="I19" s="322"/>
      <c r="J19" s="322"/>
      <c r="K19" s="322"/>
      <c r="L19" s="322"/>
      <c r="M19" s="322"/>
      <c r="N19" s="322"/>
      <c r="O19" s="322"/>
      <c r="P19" s="322"/>
      <c r="Q19" s="323">
        <v>12</v>
      </c>
      <c r="R19" s="421">
        <v>10147164340</v>
      </c>
      <c r="S19" s="459"/>
      <c r="T19" s="459"/>
      <c r="U19" s="459"/>
      <c r="V19" s="422"/>
      <c r="W19" s="360" t="s">
        <v>282</v>
      </c>
      <c r="X19" s="321"/>
      <c r="Y19" s="321"/>
      <c r="Z19" s="321"/>
      <c r="AA19" s="321"/>
      <c r="AB19" s="321"/>
      <c r="AC19" s="321"/>
      <c r="AD19" s="321"/>
      <c r="AE19" s="324">
        <v>14</v>
      </c>
      <c r="AF19" s="325"/>
      <c r="AG19" s="421">
        <v>10134812200</v>
      </c>
      <c r="AH19" s="422"/>
      <c r="AI19" s="14"/>
      <c r="AJ19" s="151"/>
      <c r="AL19" s="39"/>
      <c r="AM19"/>
      <c r="AN19" s="310" t="s">
        <v>245</v>
      </c>
      <c r="BF19" s="98"/>
      <c r="BG19" s="103" t="s">
        <v>93</v>
      </c>
      <c r="BH19" s="103" t="s">
        <v>94</v>
      </c>
      <c r="BI19" s="103" t="s">
        <v>95</v>
      </c>
      <c r="BK19" s="39">
        <v>10124334782</v>
      </c>
    </row>
    <row r="20" spans="1:64" ht="17.100000000000001" customHeight="1">
      <c r="A20" s="177">
        <v>7</v>
      </c>
      <c r="B20" s="169" t="str">
        <f>'Pořadí 10 Teams_2x5_Spielplan'!S8</f>
        <v>Sokol Šitbořice 3</v>
      </c>
      <c r="C20" s="170"/>
      <c r="D20" s="170"/>
      <c r="E20" s="173"/>
      <c r="F20" s="362" t="s">
        <v>300</v>
      </c>
      <c r="G20" s="337"/>
      <c r="H20" s="338"/>
      <c r="I20" s="338"/>
      <c r="J20" s="338"/>
      <c r="K20" s="338"/>
      <c r="L20" s="338"/>
      <c r="M20" s="338"/>
      <c r="N20" s="338"/>
      <c r="O20" s="338"/>
      <c r="P20" s="338"/>
      <c r="Q20" s="339">
        <v>12</v>
      </c>
      <c r="R20" s="412">
        <v>10168434521</v>
      </c>
      <c r="S20" s="413"/>
      <c r="T20" s="413"/>
      <c r="U20" s="413"/>
      <c r="V20" s="414"/>
      <c r="W20" s="364" t="s">
        <v>288</v>
      </c>
      <c r="X20" s="345"/>
      <c r="Y20" s="345"/>
      <c r="Z20" s="345"/>
      <c r="AA20" s="345"/>
      <c r="AB20" s="345"/>
      <c r="AC20" s="345"/>
      <c r="AD20" s="345"/>
      <c r="AE20" s="324">
        <v>10</v>
      </c>
      <c r="AF20" s="346"/>
      <c r="AG20" s="457">
        <v>10137204359</v>
      </c>
      <c r="AH20" s="458"/>
      <c r="AI20" s="14"/>
      <c r="AJ20" s="151"/>
      <c r="AL20" s="39"/>
      <c r="AM20"/>
      <c r="AN20" s="310" t="s">
        <v>246</v>
      </c>
      <c r="BF20" s="98"/>
      <c r="BG20" s="103" t="s">
        <v>3</v>
      </c>
      <c r="BH20" s="103" t="s">
        <v>96</v>
      </c>
      <c r="BI20" s="103" t="s">
        <v>87</v>
      </c>
      <c r="BJ20" s="102"/>
    </row>
    <row r="21" spans="1:64" ht="17.100000000000001" customHeight="1">
      <c r="A21" s="177">
        <v>8</v>
      </c>
      <c r="B21" s="169" t="str">
        <f>'Pořadí 10 Teams_2x5_Spielplan'!S9</f>
        <v>Spartak Chrastava</v>
      </c>
      <c r="C21" s="170"/>
      <c r="D21" s="170"/>
      <c r="E21" s="171"/>
      <c r="F21" s="360" t="s">
        <v>275</v>
      </c>
      <c r="G21" s="321"/>
      <c r="H21" s="322"/>
      <c r="I21" s="322"/>
      <c r="J21" s="322"/>
      <c r="K21" s="322"/>
      <c r="L21" s="322"/>
      <c r="M21" s="322"/>
      <c r="N21" s="322"/>
      <c r="O21" s="322"/>
      <c r="P21" s="322"/>
      <c r="Q21" s="339">
        <v>14</v>
      </c>
      <c r="R21" s="401" t="s">
        <v>302</v>
      </c>
      <c r="S21" s="402"/>
      <c r="T21" s="402"/>
      <c r="U21" s="402"/>
      <c r="V21" s="403"/>
      <c r="W21" s="360" t="s">
        <v>276</v>
      </c>
      <c r="X21" s="321"/>
      <c r="Y21" s="321"/>
      <c r="Z21" s="321"/>
      <c r="AA21" s="321"/>
      <c r="AB21" s="321"/>
      <c r="AC21" s="321"/>
      <c r="AD21" s="321"/>
      <c r="AE21" s="340">
        <v>12</v>
      </c>
      <c r="AF21" s="325"/>
      <c r="AG21" s="421">
        <v>10159190320</v>
      </c>
      <c r="AH21" s="422"/>
      <c r="AI21" s="14"/>
      <c r="AJ21" s="151"/>
      <c r="AL21" s="316"/>
      <c r="AM21" s="316"/>
      <c r="AN21" s="309" t="s">
        <v>247</v>
      </c>
      <c r="BF21" s="98"/>
      <c r="BG21" s="103" t="s">
        <v>54</v>
      </c>
      <c r="BH21" s="103" t="s">
        <v>172</v>
      </c>
      <c r="BI21" s="103" t="s">
        <v>147</v>
      </c>
      <c r="BJ21" s="102"/>
    </row>
    <row r="22" spans="1:64" ht="17.100000000000001" customHeight="1">
      <c r="A22" s="177">
        <v>9</v>
      </c>
      <c r="B22" s="172" t="str">
        <f>'Pořadí 10 Teams_2x5_Spielplan'!S10</f>
        <v>Sokol Zlín-Prštné 1</v>
      </c>
      <c r="C22" s="170"/>
      <c r="D22" s="170"/>
      <c r="E22" s="178"/>
      <c r="F22" s="363" t="s">
        <v>301</v>
      </c>
      <c r="G22" s="341"/>
      <c r="H22" s="342"/>
      <c r="I22" s="342"/>
      <c r="J22" s="342"/>
      <c r="K22" s="342"/>
      <c r="L22" s="342"/>
      <c r="M22" s="342"/>
      <c r="N22" s="342"/>
      <c r="O22" s="342"/>
      <c r="P22" s="342"/>
      <c r="Q22" s="323">
        <v>9</v>
      </c>
      <c r="R22" s="460">
        <v>10148441609</v>
      </c>
      <c r="S22" s="460"/>
      <c r="T22" s="460"/>
      <c r="U22" s="460"/>
      <c r="V22" s="460"/>
      <c r="W22" s="360" t="s">
        <v>283</v>
      </c>
      <c r="X22" s="321"/>
      <c r="Y22" s="321"/>
      <c r="Z22" s="321"/>
      <c r="AA22" s="321"/>
      <c r="AB22" s="321"/>
      <c r="AC22" s="321"/>
      <c r="AD22" s="321"/>
      <c r="AE22" s="343">
        <v>14</v>
      </c>
      <c r="AF22" s="344"/>
      <c r="AG22" s="461">
        <v>10091960428</v>
      </c>
      <c r="AH22" s="461"/>
      <c r="AI22" s="14"/>
      <c r="AJ22" s="150"/>
      <c r="AL22" s="39"/>
      <c r="BF22" s="98"/>
      <c r="BG22" s="103" t="s">
        <v>55</v>
      </c>
      <c r="BH22" s="103" t="s">
        <v>173</v>
      </c>
      <c r="BI22" s="103" t="s">
        <v>148</v>
      </c>
      <c r="BJ22" s="102"/>
    </row>
    <row r="23" spans="1:64" ht="17.100000000000001" customHeight="1">
      <c r="A23" s="177">
        <v>10</v>
      </c>
      <c r="B23" s="169" t="str">
        <f>'Pořadí 10 Teams_2x5_Spielplan'!S11</f>
        <v>MILO Olomouc 1</v>
      </c>
      <c r="C23" s="170"/>
      <c r="D23" s="170"/>
      <c r="E23" s="173"/>
      <c r="F23" s="387" t="s">
        <v>284</v>
      </c>
      <c r="G23" s="384"/>
      <c r="H23" s="385"/>
      <c r="I23" s="385"/>
      <c r="J23" s="385"/>
      <c r="K23" s="385"/>
      <c r="L23" s="385"/>
      <c r="M23" s="385"/>
      <c r="N23" s="385"/>
      <c r="O23" s="385"/>
      <c r="P23" s="385"/>
      <c r="Q23" s="386">
        <v>14</v>
      </c>
      <c r="R23" s="467">
        <v>10148286712</v>
      </c>
      <c r="S23" s="467"/>
      <c r="T23" s="467"/>
      <c r="U23" s="467"/>
      <c r="V23" s="467"/>
      <c r="W23" s="360" t="s">
        <v>285</v>
      </c>
      <c r="X23" s="321"/>
      <c r="Y23" s="321"/>
      <c r="Z23" s="321"/>
      <c r="AA23" s="321"/>
      <c r="AB23" s="321"/>
      <c r="AC23" s="321"/>
      <c r="AD23" s="321"/>
      <c r="AE23" s="343">
        <v>11</v>
      </c>
      <c r="AF23" s="344"/>
      <c r="AG23" s="467">
        <v>10158891640</v>
      </c>
      <c r="AH23" s="467"/>
      <c r="AI23" s="14"/>
      <c r="AJ23" s="150"/>
      <c r="AL23" s="39"/>
      <c r="BF23" s="98"/>
    </row>
    <row r="24" spans="1:64" ht="15" customHeight="1" thickBot="1">
      <c r="AE24"/>
      <c r="AG24"/>
      <c r="AL24" s="39"/>
      <c r="BG24" s="103"/>
      <c r="BH24" s="103"/>
      <c r="BI24" s="103"/>
      <c r="BJ24" s="102"/>
    </row>
    <row r="25" spans="1:64" ht="24" customHeight="1" thickBot="1">
      <c r="A25" s="434" t="str">
        <f>INDEX(BG21:BI21,$AJ$4)</f>
        <v>Výsledky - základní skupina "A"</v>
      </c>
      <c r="B25" s="435"/>
      <c r="C25" s="435"/>
      <c r="D25" s="435"/>
      <c r="E25" s="435"/>
      <c r="F25" s="435"/>
      <c r="G25" s="435"/>
      <c r="H25" s="435"/>
      <c r="I25" s="435"/>
      <c r="J25" s="435"/>
      <c r="K25" s="435"/>
      <c r="L25" s="435"/>
      <c r="M25" s="435"/>
      <c r="N25" s="435"/>
      <c r="O25" s="436"/>
      <c r="P25" s="436"/>
      <c r="Q25" s="436"/>
      <c r="R25" s="436"/>
      <c r="S25" s="436"/>
      <c r="T25" s="436"/>
      <c r="U25" s="436"/>
      <c r="V25" s="436"/>
      <c r="W25" s="437"/>
      <c r="Y25" s="3"/>
      <c r="AB25" s="3"/>
      <c r="AF25" s="3"/>
      <c r="AJ25" s="90" t="s">
        <v>61</v>
      </c>
      <c r="AL25" s="39"/>
      <c r="BF25" s="98"/>
      <c r="BG25" s="103" t="s">
        <v>4</v>
      </c>
      <c r="BH25" s="103" t="s">
        <v>99</v>
      </c>
      <c r="BI25" s="103" t="s">
        <v>157</v>
      </c>
      <c r="BJ25" s="102"/>
    </row>
    <row r="26" spans="1:64" ht="10.5" customHeight="1">
      <c r="AL26" s="39"/>
      <c r="BF26" s="98"/>
      <c r="BG26" s="103" t="s">
        <v>44</v>
      </c>
      <c r="BH26" s="103" t="s">
        <v>100</v>
      </c>
      <c r="BI26" s="103" t="s">
        <v>101</v>
      </c>
    </row>
    <row r="27" spans="1:64" ht="15" customHeight="1">
      <c r="A27" s="85"/>
      <c r="B27" s="95" t="str">
        <f>INDEX(BG13:BI13,$AJ$4)</f>
        <v>Těl. spolek - klub</v>
      </c>
      <c r="C27" s="42" t="str">
        <f>A28</f>
        <v>A1</v>
      </c>
      <c r="D27" s="42"/>
      <c r="E27" s="42"/>
      <c r="F27" s="42" t="str">
        <f>A29</f>
        <v>A2</v>
      </c>
      <c r="G27" s="42"/>
      <c r="H27" s="42"/>
      <c r="I27" s="42" t="str">
        <f>A30</f>
        <v>A3</v>
      </c>
      <c r="J27" s="42"/>
      <c r="K27" s="42"/>
      <c r="L27" s="42" t="str">
        <f>A31</f>
        <v>A4</v>
      </c>
      <c r="M27" s="42"/>
      <c r="N27" s="42"/>
      <c r="O27" s="42" t="str">
        <f>A32</f>
        <v>A5</v>
      </c>
      <c r="P27" s="42"/>
      <c r="Q27" s="42"/>
      <c r="R27" s="429">
        <v>6</v>
      </c>
      <c r="S27" s="429"/>
      <c r="T27" s="429"/>
      <c r="U27" s="429">
        <v>7</v>
      </c>
      <c r="V27" s="429"/>
      <c r="W27" s="429"/>
      <c r="X27" s="429">
        <v>8</v>
      </c>
      <c r="Y27" s="429"/>
      <c r="Z27" s="429"/>
      <c r="AA27" s="74">
        <v>9</v>
      </c>
      <c r="AB27" s="74"/>
      <c r="AC27" s="74"/>
      <c r="AD27" s="59" t="str">
        <f>INDEX(BG25:BI25,$AJ$4)</f>
        <v>Body</v>
      </c>
      <c r="AE27" s="116" t="str">
        <f>INDEX(BG26:BI26,$AJ$4)</f>
        <v>Branky</v>
      </c>
      <c r="AF27" s="120"/>
      <c r="AG27" s="116"/>
      <c r="AH27" s="115" t="str">
        <f>INDEX(BG27:BI27,$AJ$4)</f>
        <v>Místo</v>
      </c>
      <c r="AI27" s="94" t="s">
        <v>62</v>
      </c>
      <c r="AJ27" s="89" t="s">
        <v>209</v>
      </c>
      <c r="AL27" s="39"/>
      <c r="BF27" s="98"/>
      <c r="BG27" s="103" t="s">
        <v>5</v>
      </c>
      <c r="BH27" s="103" t="s">
        <v>102</v>
      </c>
      <c r="BI27" s="103" t="s">
        <v>149</v>
      </c>
    </row>
    <row r="28" spans="1:64" ht="24" customHeight="1">
      <c r="A28" s="86" t="s">
        <v>191</v>
      </c>
      <c r="B28" s="81" t="str">
        <f>B13</f>
        <v>MILO Olomouc 2</v>
      </c>
      <c r="C28" s="40"/>
      <c r="D28" s="21"/>
      <c r="E28" s="21"/>
      <c r="F28" s="29">
        <f>IF('Pořadí 10 Teams_2x5_Spielplan'!$L6="","",'Pořadí 10 Teams_2x5_Spielplan'!$L6)</f>
        <v>5</v>
      </c>
      <c r="G28" s="41" t="s">
        <v>6</v>
      </c>
      <c r="H28" s="154">
        <f>IF('Pořadí 10 Teams_2x5_Spielplan'!$N6="","",'Pořadí 10 Teams_2x5_Spielplan'!$N6)</f>
        <v>0</v>
      </c>
      <c r="I28" s="29">
        <f>IF('Pořadí 10 Teams_2x5_Spielplan'!$L16="","",'Pořadí 10 Teams_2x5_Spielplan'!$L16)</f>
        <v>2</v>
      </c>
      <c r="J28" s="41" t="s">
        <v>6</v>
      </c>
      <c r="K28" s="154">
        <f>IF('Pořadí 10 Teams_2x5_Spielplan'!$N16="","",'Pořadí 10 Teams_2x5_Spielplan'!$N16)</f>
        <v>4</v>
      </c>
      <c r="L28" s="29">
        <f>IF('Pořadí 10 Teams_2x5_Spielplan'!$L22="","",'Pořadí 10 Teams_2x5_Spielplan'!$L22)</f>
        <v>1</v>
      </c>
      <c r="M28" s="41" t="s">
        <v>6</v>
      </c>
      <c r="N28" s="154">
        <f>IF('Pořadí 10 Teams_2x5_Spielplan'!$N22="","",'Pořadí 10 Teams_2x5_Spielplan'!$N22)</f>
        <v>3</v>
      </c>
      <c r="O28" s="29">
        <f>IF('Pořadí 10 Teams_2x5_Spielplan'!$L10="","",'Pořadí 10 Teams_2x5_Spielplan'!$L10)</f>
        <v>0</v>
      </c>
      <c r="P28" s="41" t="s">
        <v>6</v>
      </c>
      <c r="Q28" s="154">
        <f>IF('Pořadí 10 Teams_2x5_Spielplan'!$N10="","",'Pořadí 10 Teams_2x5_Spielplan'!$N10)</f>
        <v>2</v>
      </c>
      <c r="R28" s="75"/>
      <c r="S28" s="76" t="s">
        <v>6</v>
      </c>
      <c r="T28" s="77"/>
      <c r="U28" s="75"/>
      <c r="V28" s="76" t="s">
        <v>6</v>
      </c>
      <c r="W28" s="77"/>
      <c r="X28" s="75"/>
      <c r="Y28" s="76" t="s">
        <v>6</v>
      </c>
      <c r="Z28" s="77"/>
      <c r="AA28" s="75"/>
      <c r="AB28" s="76" t="s">
        <v>6</v>
      </c>
      <c r="AC28" s="92"/>
      <c r="AD28" s="137">
        <f>IF(F28="","",IF(AND(C28="",E28=""),0,IF(C28&gt;E28,3,IF(C28=E28,1,0)))+IF(AND(F28="",H28=""),0,IF(F28&gt;H28,3,IF(F28=H28,1,0)))+IF(AND(I28="",K28=""),0,IF(I28&gt;K28,3,IF(I28=K28,1,0)))+IF(AND(L28="",N28=""),0,IF(L28&gt;N28,3,IF(L28=N28,1,0)))+IF(AND(O28="",Q28=""),0,IF(O28&gt;Q28,3,IF(O28=Q28,1,0)))+IF(AND(R28="",T28=""),0,IF(R28&gt;T28,3,IF(R28=T28,1,0)))+IF(AND(U28="",W28=""),0,IF(U28&gt;W28,3,IF(U28=W28,1,0)))+IF(AND(X28="",Z28=""),0,IF(X28&gt;Z28,3,IF(X28=Z28,1,0)))+IF(AND(AA28="",AC28=""),0,IF(AA28&gt;AC28,3,IF(AA28=AC28,1,0))))</f>
        <v>3</v>
      </c>
      <c r="AE28" s="159">
        <f>IF(F28="","",F28+I28+L28+O28+R28+U28+X28+AA28)</f>
        <v>8</v>
      </c>
      <c r="AF28" s="139" t="s">
        <v>6</v>
      </c>
      <c r="AG28" s="138">
        <f>IF(H28="","",H28+K28+N28+Q28+T28+W28+Z28+AC28)</f>
        <v>9</v>
      </c>
      <c r="AH28" s="161">
        <f>IF(F28="","",RANK(AD28,$AD$28:$AD$32))</f>
        <v>4</v>
      </c>
      <c r="AI28" s="133">
        <f>IF(F28="","",AE28-AG28)</f>
        <v>-1</v>
      </c>
      <c r="AJ28" s="89" t="s">
        <v>210</v>
      </c>
      <c r="AK28" s="39"/>
      <c r="AL28" s="39"/>
      <c r="AM28" s="224">
        <f>AH28</f>
        <v>4</v>
      </c>
      <c r="AN28" s="220" t="str">
        <f>B13</f>
        <v>MILO Olomouc 2</v>
      </c>
      <c r="AO28" s="220" t="str">
        <f>F13</f>
        <v>Klesnil Vilém</v>
      </c>
      <c r="AP28" s="220">
        <f>R13</f>
        <v>10148287621</v>
      </c>
      <c r="AQ28" s="220" t="str">
        <f>W13</f>
        <v>Šimlík Bohdan</v>
      </c>
      <c r="AR28" s="220">
        <f>AG13</f>
        <v>10135701162</v>
      </c>
      <c r="BF28" s="98"/>
      <c r="BG28" s="103" t="s">
        <v>7</v>
      </c>
      <c r="BH28" s="103" t="s">
        <v>103</v>
      </c>
      <c r="BI28" s="103" t="s">
        <v>104</v>
      </c>
    </row>
    <row r="29" spans="1:64" ht="24" customHeight="1">
      <c r="A29" s="87" t="s">
        <v>192</v>
      </c>
      <c r="B29" s="81" t="str">
        <f>B14</f>
        <v>Sokol Zlín-Prštné 2</v>
      </c>
      <c r="C29" s="24">
        <f>IF(H28="","",H28)</f>
        <v>0</v>
      </c>
      <c r="D29" s="25" t="s">
        <v>6</v>
      </c>
      <c r="E29" s="25">
        <f>IF(F28="","",F28)</f>
        <v>5</v>
      </c>
      <c r="F29" s="28"/>
      <c r="G29" s="21" t="s">
        <v>6</v>
      </c>
      <c r="H29" s="21"/>
      <c r="I29" s="26">
        <f>IF('Pořadí 10 Teams_2x5_Spielplan'!$L12="","",'Pořadí 10 Teams_2x5_Spielplan'!$L12)</f>
        <v>0</v>
      </c>
      <c r="J29" s="23" t="s">
        <v>6</v>
      </c>
      <c r="K29" s="27">
        <f>IF('Pořadí 10 Teams_2x5_Spielplan'!$N12="","",'Pořadí 10 Teams_2x5_Spielplan'!$N12)</f>
        <v>5</v>
      </c>
      <c r="L29" s="26">
        <f>IF('Pořadí 10 Teams_2x5_Spielplan'!$L18="","",'Pořadí 10 Teams_2x5_Spielplan'!$L18)</f>
        <v>0</v>
      </c>
      <c r="M29" s="23" t="s">
        <v>6</v>
      </c>
      <c r="N29" s="27">
        <f>IF('Pořadí 10 Teams_2x5_Spielplan'!$N18="","",'Pořadí 10 Teams_2x5_Spielplan'!$N18)</f>
        <v>5</v>
      </c>
      <c r="O29" s="36">
        <f>IF('Pořadí 10 Teams_2x5_Spielplan'!$L24="","",'Pořadí 10 Teams_2x5_Spielplan'!$L24)</f>
        <v>0</v>
      </c>
      <c r="P29" s="35" t="s">
        <v>6</v>
      </c>
      <c r="Q29" s="37">
        <f>IF('Pořadí 10 Teams_2x5_Spielplan'!$N24="","",'Pořadí 10 Teams_2x5_Spielplan'!$N24)</f>
        <v>5</v>
      </c>
      <c r="R29" s="80"/>
      <c r="S29" s="78" t="s">
        <v>6</v>
      </c>
      <c r="T29" s="79"/>
      <c r="U29" s="80"/>
      <c r="V29" s="78" t="s">
        <v>6</v>
      </c>
      <c r="W29" s="79"/>
      <c r="X29" s="80"/>
      <c r="Y29" s="78" t="s">
        <v>6</v>
      </c>
      <c r="Z29" s="79"/>
      <c r="AA29" s="80"/>
      <c r="AB29" s="78" t="s">
        <v>6</v>
      </c>
      <c r="AC29" s="93"/>
      <c r="AD29" s="38">
        <f>IF(C29="","",IF(AND(C29="",E29=""),0,IF(C29&gt;E29,3,IF(C29=E29,1,0)))+IF(AND(F29="",H29=""),0,IF(F29&gt;H29,3,IF(F29=H29,1,0)))+IF(AND(I29="",K29=""),0,IF(I29&gt;K29,3,IF(I29=K29,1,0)))+IF(AND(L29="",N29=""),0,IF(L29&gt;N29,3,IF(L29=N29,1,0)))+IF(AND(O29="",Q29=""),0,IF(O29&gt;Q29,3,IF(O29=Q29,1,0)))+IF(AND(R29="",T29=""),0,IF(R29&gt;T29,3,IF(R29=T29,1,0)))+IF(AND(U29="",W29=""),0,IF(U29&gt;W29,3,IF(U29=W29,1,0)))+IF(AND(X29="",Z29=""),0,IF(X29&gt;Z29,3,IF(X29=Z29,1,0)))+IF(AND(AA29="",AC29=""),0,IF(AA29&gt;AC29,3,IF(AA29=AC29,1,0))))</f>
        <v>0</v>
      </c>
      <c r="AE29" s="129">
        <f>IF(H28="","",H28+I29+L29+O29+R29+U29+X29+AA29)</f>
        <v>0</v>
      </c>
      <c r="AF29" s="131" t="s">
        <v>6</v>
      </c>
      <c r="AG29" s="129">
        <f>IF(F28="","",F28+K29+N29+Q29+T29+W29+Z29+AC29)</f>
        <v>20</v>
      </c>
      <c r="AH29" s="162">
        <f>IF(C29="","",RANK(AD29,$AD$28:$AD$32))</f>
        <v>5</v>
      </c>
      <c r="AI29" s="133">
        <f>IF(C29="","",AE29-AG29)</f>
        <v>-20</v>
      </c>
      <c r="AJ29" s="264" t="s">
        <v>211</v>
      </c>
      <c r="AK29" s="266"/>
      <c r="AL29" s="39"/>
      <c r="AM29" s="224">
        <f>AH29</f>
        <v>5</v>
      </c>
      <c r="AN29" s="220" t="str">
        <f>B14</f>
        <v>Sokol Zlín-Prštné 2</v>
      </c>
      <c r="AO29" s="220" t="str">
        <f>F14</f>
        <v>Hobzová Veronika</v>
      </c>
      <c r="AP29" s="220">
        <f>R14</f>
        <v>10173983729</v>
      </c>
      <c r="AQ29" s="220" t="str">
        <f>W14</f>
        <v>Struhařová Sára</v>
      </c>
      <c r="AR29" s="220">
        <f>AG14</f>
        <v>10091960529</v>
      </c>
      <c r="BF29" s="98"/>
      <c r="BG29" s="103" t="s">
        <v>53</v>
      </c>
      <c r="BH29" s="103" t="s">
        <v>105</v>
      </c>
      <c r="BI29" s="103" t="s">
        <v>106</v>
      </c>
    </row>
    <row r="30" spans="1:64" ht="24" customHeight="1">
      <c r="A30" s="87" t="s">
        <v>193</v>
      </c>
      <c r="B30" s="81" t="str">
        <f>B15</f>
        <v>Sokol Šitbořice 1</v>
      </c>
      <c r="C30" s="24">
        <f>IF(K28="","",K28)</f>
        <v>4</v>
      </c>
      <c r="D30" s="25" t="s">
        <v>6</v>
      </c>
      <c r="E30" s="25">
        <f>IF(I28="","",I28)</f>
        <v>2</v>
      </c>
      <c r="F30" s="24">
        <f>IF(K29="","",K29)</f>
        <v>5</v>
      </c>
      <c r="G30" s="25" t="s">
        <v>6</v>
      </c>
      <c r="H30" s="25">
        <f>IF(I29="","",I29)</f>
        <v>0</v>
      </c>
      <c r="I30" s="22"/>
      <c r="J30" s="21" t="s">
        <v>6</v>
      </c>
      <c r="K30" s="21"/>
      <c r="L30" s="26">
        <f>IF('Pořadí 10 Teams_2x5_Spielplan'!$L8="","",'Pořadí 10 Teams_2x5_Spielplan'!$L8)</f>
        <v>7</v>
      </c>
      <c r="M30" s="23" t="s">
        <v>6</v>
      </c>
      <c r="N30" s="27">
        <f>IF('Pořadí 10 Teams_2x5_Spielplan'!$N8="","",'Pořadí 10 Teams_2x5_Spielplan'!$N8)</f>
        <v>1</v>
      </c>
      <c r="O30" s="36">
        <f>IF('Pořadí 10 Teams_2x5_Spielplan'!$L20="","",'Pořadí 10 Teams_2x5_Spielplan'!$L20)</f>
        <v>6</v>
      </c>
      <c r="P30" s="35" t="s">
        <v>6</v>
      </c>
      <c r="Q30" s="37">
        <f>IF('Pořadí 10 Teams_2x5_Spielplan'!$N20="","",'Pořadí 10 Teams_2x5_Spielplan'!$N20)</f>
        <v>1</v>
      </c>
      <c r="R30" s="80"/>
      <c r="S30" s="78" t="s">
        <v>6</v>
      </c>
      <c r="T30" s="79"/>
      <c r="U30" s="80"/>
      <c r="V30" s="78" t="s">
        <v>6</v>
      </c>
      <c r="W30" s="79"/>
      <c r="X30" s="80"/>
      <c r="Y30" s="78" t="s">
        <v>6</v>
      </c>
      <c r="Z30" s="79"/>
      <c r="AA30" s="80"/>
      <c r="AB30" s="78" t="s">
        <v>6</v>
      </c>
      <c r="AC30" s="93"/>
      <c r="AD30" s="38">
        <f>IF(L30="","",IF(AND(C30="",E30=""),0,IF(C30&gt;E30,3,IF(C30=E30,1,0)))+IF(AND(F30="",H30=""),0,IF(F30&gt;H30,3,IF(F30=H30,1,0)))+IF(AND(I30="",K30=""),0,IF(I30&gt;K30,3,IF(I30=K30,1,0)))+IF(AND(L30="",N30=""),0,IF(L30&gt;N30,3,IF(L30=N30,1,0)))+IF(AND(O30="",Q30=""),0,IF(O30&gt;Q30,3,IF(O30=Q30,1,0)))+IF(AND(R30="",T30=""),0,IF(R30&gt;T30,3,IF(R30=T30,1,0)))+IF(AND(U30="",W30=""),0,IF(U30&gt;W30,3,IF(U30=W30,1,0)))+IF(AND(X30="",Z30=""),0,IF(X30&gt;Z30,3,IF(X30=Z30,1,0)))+IF(AND(AA30="",AC30=""),0,IF(AA30&gt;AC30,3,IF(AA30=AC30,1,0))))</f>
        <v>12</v>
      </c>
      <c r="AE30" s="129">
        <f>IF(K28="","",K28+K29+L30+O30+R30+U30+X30+AA30)</f>
        <v>22</v>
      </c>
      <c r="AF30" s="131" t="s">
        <v>6</v>
      </c>
      <c r="AG30" s="129">
        <f>IF(I28="","",I28+I29+N30+Q30+T30+W30+Z30+AC30)</f>
        <v>4</v>
      </c>
      <c r="AH30" s="162">
        <f>IF(C30="","",RANK(AD30,$AD$28:$AD$32))</f>
        <v>1</v>
      </c>
      <c r="AI30" s="133">
        <f>IF(C30="","",AE30-AG30)</f>
        <v>18</v>
      </c>
      <c r="AJ30" s="265" t="s">
        <v>212</v>
      </c>
      <c r="AK30" s="134"/>
      <c r="AL30" s="39"/>
      <c r="AM30" s="224">
        <f>AH30</f>
        <v>1</v>
      </c>
      <c r="AN30" s="220" t="str">
        <f>B15</f>
        <v>Sokol Šitbořice 1</v>
      </c>
      <c r="AO30" s="220" t="str">
        <f>F15</f>
        <v>Kyzlink Filip</v>
      </c>
      <c r="AP30" s="220">
        <f>R15</f>
        <v>10157654383</v>
      </c>
      <c r="AQ30" s="220" t="str">
        <f>W15</f>
        <v>Šabata Matěj</v>
      </c>
      <c r="AR30" s="220">
        <f>AG15</f>
        <v>10099764177</v>
      </c>
      <c r="BF30" s="98"/>
      <c r="BG30" s="103" t="s">
        <v>107</v>
      </c>
      <c r="BH30" s="103" t="s">
        <v>108</v>
      </c>
      <c r="BI30" s="103" t="s">
        <v>109</v>
      </c>
      <c r="BK30" s="39">
        <v>7</v>
      </c>
      <c r="BL30" s="39">
        <v>4</v>
      </c>
    </row>
    <row r="31" spans="1:64" ht="24" customHeight="1">
      <c r="A31" s="87" t="s">
        <v>194</v>
      </c>
      <c r="B31" s="81" t="str">
        <f>B16</f>
        <v>Start Plzeň</v>
      </c>
      <c r="C31" s="24">
        <f>IF(N28="","",N28)</f>
        <v>3</v>
      </c>
      <c r="D31" s="25" t="s">
        <v>6</v>
      </c>
      <c r="E31" s="25">
        <f>IF(L28="","",L28)</f>
        <v>1</v>
      </c>
      <c r="F31" s="24">
        <f>IF(N29="","",N29)</f>
        <v>5</v>
      </c>
      <c r="G31" s="25" t="s">
        <v>6</v>
      </c>
      <c r="H31" s="25">
        <f>IF(L29="","",L29)</f>
        <v>0</v>
      </c>
      <c r="I31" s="24">
        <f>IF(N30="","",N30)</f>
        <v>1</v>
      </c>
      <c r="J31" s="25" t="s">
        <v>6</v>
      </c>
      <c r="K31" s="25">
        <f>IF(L30="","",L30)</f>
        <v>7</v>
      </c>
      <c r="L31" s="22"/>
      <c r="M31" s="21" t="s">
        <v>6</v>
      </c>
      <c r="N31" s="21"/>
      <c r="O31" s="36">
        <f>IF('Pořadí 10 Teams_2x5_Spielplan'!$L14="","",'Pořadí 10 Teams_2x5_Spielplan'!$L14)</f>
        <v>3</v>
      </c>
      <c r="P31" s="35" t="s">
        <v>6</v>
      </c>
      <c r="Q31" s="37">
        <f>IF('Pořadí 10 Teams_2x5_Spielplan'!$N14="","",'Pořadí 10 Teams_2x5_Spielplan'!$N14)</f>
        <v>5</v>
      </c>
      <c r="R31" s="80"/>
      <c r="S31" s="78" t="s">
        <v>6</v>
      </c>
      <c r="T31" s="79"/>
      <c r="U31" s="80"/>
      <c r="V31" s="78" t="s">
        <v>6</v>
      </c>
      <c r="W31" s="79"/>
      <c r="X31" s="80"/>
      <c r="Y31" s="78" t="s">
        <v>6</v>
      </c>
      <c r="Z31" s="79"/>
      <c r="AA31" s="80"/>
      <c r="AB31" s="78" t="s">
        <v>6</v>
      </c>
      <c r="AC31" s="93"/>
      <c r="AD31" s="38">
        <f>IF(I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6</v>
      </c>
      <c r="AE31" s="129">
        <f>IF(N28="","",N28+N29+N30+O31+R31+U31+X31+AA31)</f>
        <v>12</v>
      </c>
      <c r="AF31" s="131" t="s">
        <v>6</v>
      </c>
      <c r="AG31" s="129">
        <f>IF(L28="","",L28+L29+L30+Q31+T31+W31+Z31+AC31)</f>
        <v>13</v>
      </c>
      <c r="AH31" s="162">
        <f>IF(C31="","",RANK(AD31,$AD$28:$AD$32))</f>
        <v>3</v>
      </c>
      <c r="AI31" s="133">
        <f>IF(C31="","",AE31-AG31)</f>
        <v>-1</v>
      </c>
      <c r="AJ31" s="265" t="s">
        <v>213</v>
      </c>
      <c r="AK31" s="134"/>
      <c r="AL31" s="39"/>
      <c r="AM31" s="224">
        <f>AH31</f>
        <v>3</v>
      </c>
      <c r="AN31" s="220" t="str">
        <f>B16</f>
        <v>Start Plzeň</v>
      </c>
      <c r="AO31" s="220" t="str">
        <f>F16</f>
        <v>Bartošek Lukáš</v>
      </c>
      <c r="AP31" s="220">
        <f>R16</f>
        <v>10105623482</v>
      </c>
      <c r="AQ31" s="220" t="str">
        <f>W16</f>
        <v>Culek Mikuláš</v>
      </c>
      <c r="AR31" s="220">
        <f>AG16</f>
        <v>10123992959</v>
      </c>
      <c r="BF31" s="98"/>
      <c r="BG31" s="103" t="s">
        <v>23</v>
      </c>
      <c r="BH31" s="103" t="s">
        <v>110</v>
      </c>
      <c r="BI31" s="103" t="s">
        <v>111</v>
      </c>
      <c r="BK31" s="39">
        <v>5</v>
      </c>
      <c r="BL31" s="39">
        <v>6</v>
      </c>
    </row>
    <row r="32" spans="1:64" ht="24" customHeight="1">
      <c r="A32" s="87" t="s">
        <v>195</v>
      </c>
      <c r="B32" s="81" t="str">
        <f>B17</f>
        <v>Liberec - Chrastava</v>
      </c>
      <c r="C32" s="24">
        <f>IF(Q28="","",Q28)</f>
        <v>2</v>
      </c>
      <c r="D32" s="25" t="s">
        <v>6</v>
      </c>
      <c r="E32" s="25">
        <f>IF(O28="","",O28)</f>
        <v>0</v>
      </c>
      <c r="F32" s="24">
        <f>IF(Q29="","",Q29)</f>
        <v>5</v>
      </c>
      <c r="G32" s="25" t="s">
        <v>6</v>
      </c>
      <c r="H32" s="25">
        <f>IF(O29="","",O29)</f>
        <v>0</v>
      </c>
      <c r="I32" s="24">
        <f>IF(Q30="","",Q30)</f>
        <v>1</v>
      </c>
      <c r="J32" s="25" t="s">
        <v>6</v>
      </c>
      <c r="K32" s="25">
        <f>IF(O30="","",O30)</f>
        <v>6</v>
      </c>
      <c r="L32" s="24">
        <f>IF(Q31="","",Q31)</f>
        <v>5</v>
      </c>
      <c r="M32" s="25" t="s">
        <v>6</v>
      </c>
      <c r="N32" s="25">
        <f>IF(O31="","",O31)</f>
        <v>3</v>
      </c>
      <c r="O32" s="22"/>
      <c r="P32" s="21" t="s">
        <v>6</v>
      </c>
      <c r="Q32" s="21"/>
      <c r="R32" s="75"/>
      <c r="S32" s="78" t="s">
        <v>6</v>
      </c>
      <c r="T32" s="77"/>
      <c r="U32" s="75"/>
      <c r="V32" s="78" t="s">
        <v>6</v>
      </c>
      <c r="W32" s="77"/>
      <c r="X32" s="75"/>
      <c r="Y32" s="78" t="s">
        <v>6</v>
      </c>
      <c r="Z32" s="77"/>
      <c r="AA32" s="75"/>
      <c r="AB32" s="78" t="s">
        <v>6</v>
      </c>
      <c r="AC32" s="93"/>
      <c r="AD32" s="38">
        <f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9</v>
      </c>
      <c r="AE32" s="129">
        <f>IF(Q28="","",Q28+Q29+Q30+Q31+R32+U32+X32+AA32)</f>
        <v>13</v>
      </c>
      <c r="AF32" s="131" t="s">
        <v>6</v>
      </c>
      <c r="AG32" s="129">
        <f>IF(O28="","",O28+O29+O30+O31+T32+W32+Z32+AC32)</f>
        <v>9</v>
      </c>
      <c r="AH32" s="162">
        <f>IF(C32="","",RANK(AD32,$AD$28:$AD$32))</f>
        <v>2</v>
      </c>
      <c r="AI32" s="133">
        <f>IF(C32="","",AE32-AG32)</f>
        <v>4</v>
      </c>
      <c r="AJ32" s="265" t="s">
        <v>214</v>
      </c>
      <c r="AK32" s="134"/>
      <c r="AL32" s="39"/>
      <c r="AM32" s="224">
        <f>AH32</f>
        <v>2</v>
      </c>
      <c r="AN32" s="220" t="str">
        <f>B17</f>
        <v>Liberec - Chrastava</v>
      </c>
      <c r="AO32" s="220" t="str">
        <f>F17</f>
        <v>Šámal Filip</v>
      </c>
      <c r="AP32" s="220">
        <f>R17</f>
        <v>10111258980</v>
      </c>
      <c r="AQ32" s="220" t="str">
        <f>W17</f>
        <v>Turcanu Tomáš</v>
      </c>
      <c r="AR32" s="220">
        <f>AG17</f>
        <v>10159190421</v>
      </c>
      <c r="BF32" s="98"/>
      <c r="BG32" s="103" t="s">
        <v>112</v>
      </c>
      <c r="BH32" s="103" t="s">
        <v>102</v>
      </c>
      <c r="BI32" s="103" t="s">
        <v>113</v>
      </c>
      <c r="BK32" s="39">
        <v>5</v>
      </c>
      <c r="BL32" s="39">
        <v>7</v>
      </c>
    </row>
    <row r="33" spans="1:63" ht="7.5" customHeight="1">
      <c r="AL33" s="39"/>
      <c r="BF33" s="98"/>
      <c r="BG33" s="103" t="s">
        <v>171</v>
      </c>
      <c r="BH33" s="103" t="s">
        <v>82</v>
      </c>
      <c r="BI33" s="103" t="s">
        <v>83</v>
      </c>
    </row>
    <row r="34" spans="1:63" ht="15.75" customHeight="1">
      <c r="X34" s="60"/>
      <c r="Y34" s="61"/>
      <c r="Z34" s="61"/>
      <c r="AA34" s="61"/>
      <c r="AB34" s="61"/>
      <c r="AC34" s="62" t="str">
        <f>INDEX(BG29:BI29,$AJ$4)</f>
        <v>kontrola</v>
      </c>
      <c r="AD34" s="63">
        <f>SUM(AD28:AD32)</f>
        <v>30</v>
      </c>
      <c r="AE34" s="64">
        <f>SUM(AE28:AE32)</f>
        <v>55</v>
      </c>
      <c r="AF34" s="65" t="s">
        <v>6</v>
      </c>
      <c r="AG34" s="66">
        <f>SUM(AG28:AG32)</f>
        <v>55</v>
      </c>
      <c r="AI34" s="67">
        <f>SUM(AI28:AI32)</f>
        <v>0</v>
      </c>
      <c r="AL34" s="39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  <c r="BE34" s="218"/>
      <c r="BF34" s="107"/>
      <c r="BG34" s="103" t="s">
        <v>42</v>
      </c>
      <c r="BH34" s="103" t="s">
        <v>114</v>
      </c>
      <c r="BI34" s="103" t="s">
        <v>115</v>
      </c>
    </row>
    <row r="35" spans="1:63" ht="21.75" customHeight="1" thickBot="1">
      <c r="X35" s="68"/>
      <c r="Y35" s="68"/>
      <c r="Z35" s="68"/>
      <c r="AA35" s="68"/>
      <c r="AB35" s="68"/>
      <c r="AC35" s="69"/>
      <c r="AD35" s="70"/>
      <c r="AE35" s="71"/>
      <c r="AF35" s="72"/>
      <c r="AG35" s="71"/>
      <c r="AI35" s="73"/>
      <c r="AJ35" s="73"/>
      <c r="AL35" s="39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  <c r="BE35" s="218"/>
      <c r="BF35" s="107"/>
      <c r="BG35" s="103" t="s">
        <v>43</v>
      </c>
      <c r="BH35" s="103" t="s">
        <v>116</v>
      </c>
      <c r="BI35" s="103" t="s">
        <v>117</v>
      </c>
    </row>
    <row r="36" spans="1:63" ht="24" customHeight="1" thickBot="1">
      <c r="A36" s="455" t="str">
        <f>INDEX(BG22:BI22,$AJ$4)</f>
        <v>Výsledky - základní skupina "B"</v>
      </c>
      <c r="B36" s="456"/>
      <c r="C36" s="456"/>
      <c r="D36" s="456"/>
      <c r="E36" s="456"/>
      <c r="F36" s="456"/>
      <c r="G36" s="456"/>
      <c r="H36" s="456"/>
      <c r="I36" s="456"/>
      <c r="J36" s="456"/>
      <c r="K36" s="456"/>
      <c r="L36" s="456"/>
      <c r="M36" s="456"/>
      <c r="N36" s="456"/>
      <c r="O36" s="436"/>
      <c r="P36" s="436"/>
      <c r="Q36" s="436"/>
      <c r="R36" s="436"/>
      <c r="S36" s="436"/>
      <c r="T36" s="436"/>
      <c r="U36" s="436"/>
      <c r="V36" s="436"/>
      <c r="W36" s="437"/>
      <c r="Y36" s="3"/>
      <c r="AB36" s="3"/>
      <c r="AF36" s="3"/>
      <c r="AJ36" s="90" t="s">
        <v>61</v>
      </c>
      <c r="AL36" s="39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  <c r="BE36" s="218"/>
      <c r="BF36" s="218"/>
      <c r="BG36" s="105"/>
      <c r="BH36" s="105"/>
      <c r="BI36" s="106"/>
    </row>
    <row r="37" spans="1:63" ht="8.25" customHeight="1">
      <c r="AL37" s="39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  <c r="BE37" s="218"/>
      <c r="BF37" s="218"/>
      <c r="BG37" s="105"/>
      <c r="BH37" s="105"/>
      <c r="BI37" s="106"/>
    </row>
    <row r="38" spans="1:63" ht="15" customHeight="1">
      <c r="A38" s="85"/>
      <c r="B38" s="95" t="str">
        <f>INDEX(BG13:BI13,$AJ$4)</f>
        <v>Těl. spolek - klub</v>
      </c>
      <c r="C38" s="42" t="str">
        <f>A39</f>
        <v>B1</v>
      </c>
      <c r="D38" s="42"/>
      <c r="E38" s="42"/>
      <c r="F38" s="42" t="str">
        <f>A40</f>
        <v>B2</v>
      </c>
      <c r="G38" s="42"/>
      <c r="H38" s="42"/>
      <c r="I38" s="42" t="str">
        <f>A41</f>
        <v>B3</v>
      </c>
      <c r="J38" s="42"/>
      <c r="K38" s="42"/>
      <c r="L38" s="42" t="str">
        <f>A42</f>
        <v>B4</v>
      </c>
      <c r="M38" s="42"/>
      <c r="N38" s="42"/>
      <c r="O38" s="42" t="str">
        <f>A43</f>
        <v>B5</v>
      </c>
      <c r="P38" s="42"/>
      <c r="Q38" s="42"/>
      <c r="R38" s="429">
        <v>6</v>
      </c>
      <c r="S38" s="429"/>
      <c r="T38" s="429"/>
      <c r="U38" s="429">
        <v>7</v>
      </c>
      <c r="V38" s="429"/>
      <c r="W38" s="429"/>
      <c r="X38" s="429">
        <v>8</v>
      </c>
      <c r="Y38" s="429"/>
      <c r="Z38" s="429"/>
      <c r="AA38" s="74">
        <v>9</v>
      </c>
      <c r="AB38" s="74"/>
      <c r="AC38" s="74"/>
      <c r="AD38" s="59" t="str">
        <f>INDEX(BG25:BI25,$AJ$4)</f>
        <v>Body</v>
      </c>
      <c r="AE38" s="116" t="str">
        <f>INDEX(BG26:BI26,$AJ$4)</f>
        <v>Branky</v>
      </c>
      <c r="AF38" s="120"/>
      <c r="AG38" s="116"/>
      <c r="AH38" s="43" t="str">
        <f>INDEX(BG27:BI27,$AJ$4)</f>
        <v>Místo</v>
      </c>
      <c r="AI38" s="94" t="s">
        <v>62</v>
      </c>
      <c r="AJ38" s="89" t="s">
        <v>209</v>
      </c>
      <c r="AL38" s="39"/>
      <c r="BF38" s="98"/>
      <c r="BG38" s="103" t="s">
        <v>118</v>
      </c>
      <c r="BH38" s="103" t="s">
        <v>119</v>
      </c>
      <c r="BI38" s="103" t="s">
        <v>120</v>
      </c>
    </row>
    <row r="39" spans="1:63" ht="24" customHeight="1">
      <c r="A39" s="86" t="s">
        <v>196</v>
      </c>
      <c r="B39" s="81" t="str">
        <f>B19</f>
        <v>Sokol Šitbořice 2</v>
      </c>
      <c r="C39" s="40"/>
      <c r="D39" s="21"/>
      <c r="E39" s="21"/>
      <c r="F39" s="29">
        <f>IF('Pořadí 10 Teams_2x5_Spielplan'!$L7="","",'Pořadí 10 Teams_2x5_Spielplan'!$L7)</f>
        <v>4</v>
      </c>
      <c r="G39" s="41" t="s">
        <v>6</v>
      </c>
      <c r="H39" s="154">
        <f>IF('Pořadí 10 Teams_2x5_Spielplan'!$N7="","",'Pořadí 10 Teams_2x5_Spielplan'!$N7)</f>
        <v>0</v>
      </c>
      <c r="I39" s="29">
        <f>IF('Pořadí 10 Teams_2x5_Spielplan'!$L17="","",'Pořadí 10 Teams_2x5_Spielplan'!$L17)</f>
        <v>13</v>
      </c>
      <c r="J39" s="41" t="s">
        <v>6</v>
      </c>
      <c r="K39" s="154">
        <f>IF('Pořadí 10 Teams_2x5_Spielplan'!$N17="","",'Pořadí 10 Teams_2x5_Spielplan'!$N17)</f>
        <v>0</v>
      </c>
      <c r="L39" s="29">
        <f>IF('Pořadí 10 Teams_2x5_Spielplan'!$L23="","",'Pořadí 10 Teams_2x5_Spielplan'!$L23)</f>
        <v>2</v>
      </c>
      <c r="M39" s="41" t="s">
        <v>6</v>
      </c>
      <c r="N39" s="154">
        <f>IF('Pořadí 10 Teams_2x5_Spielplan'!$N23="","",'Pořadí 10 Teams_2x5_Spielplan'!$N23)</f>
        <v>1</v>
      </c>
      <c r="O39" s="29">
        <f>IF('Pořadí 10 Teams_2x5_Spielplan'!$L11="","",'Pořadí 10 Teams_2x5_Spielplan'!$L11)</f>
        <v>5</v>
      </c>
      <c r="P39" s="41" t="s">
        <v>6</v>
      </c>
      <c r="Q39" s="154">
        <f>IF('Pořadí 10 Teams_2x5_Spielplan'!$N11="","",'Pořadí 10 Teams_2x5_Spielplan'!$N11)</f>
        <v>4</v>
      </c>
      <c r="R39" s="75"/>
      <c r="S39" s="76" t="s">
        <v>6</v>
      </c>
      <c r="T39" s="77"/>
      <c r="U39" s="75"/>
      <c r="V39" s="76" t="s">
        <v>6</v>
      </c>
      <c r="W39" s="77"/>
      <c r="X39" s="75"/>
      <c r="Y39" s="76" t="s">
        <v>6</v>
      </c>
      <c r="Z39" s="77"/>
      <c r="AA39" s="75"/>
      <c r="AB39" s="76" t="s">
        <v>6</v>
      </c>
      <c r="AC39" s="92"/>
      <c r="AD39" s="38">
        <f>IF(F39="","",IF(AND(C39="",E39=""),0,IF(C39&gt;E39,3,IF(C39=E39,1,0)))+IF(AND(F39="",H39=""),0,IF(F39&gt;H39,3,IF(F39=H39,1,0)))+IF(AND(I39="",K39=""),0,IF(I39&gt;K39,3,IF(I39=K39,1,0)))+IF(AND(L39="",N39=""),0,IF(L39&gt;N39,3,IF(L39=N39,1,0)))+IF(AND(O39="",Q39=""),0,IF(O39&gt;Q39,3,IF(O39=Q39,1,0)))+IF(AND(R39="",T39=""),0,IF(R39&gt;T39,3,IF(R39=T39,1,0)))+IF(AND(U39="",W39=""),0,IF(U39&gt;W39,3,IF(U39=W39,1,0)))+IF(AND(X39="",Z39=""),0,IF(X39&gt;Z39,3,IF(X39=Z39,1,0)))+IF(AND(AA39="",AC39=""),0,IF(AA39&gt;AC39,3,IF(AA39=AC39,1,0))))</f>
        <v>12</v>
      </c>
      <c r="AE39" s="159">
        <f>IF(F39="","",F39+I39+L39+O39+R39+U39+X39+AA39)</f>
        <v>24</v>
      </c>
      <c r="AF39" s="130" t="s">
        <v>6</v>
      </c>
      <c r="AG39" s="129">
        <f>IF(H39="","",H39+K39+N39+Q39+T39+W39+Z39+AC39)</f>
        <v>5</v>
      </c>
      <c r="AH39" s="161">
        <f>IF(F39="","",RANK(AD39,$AD$39:$AD$43))</f>
        <v>1</v>
      </c>
      <c r="AI39" s="133">
        <f>IF(F39="","",AE39-AG39)</f>
        <v>19</v>
      </c>
      <c r="AJ39" s="89" t="s">
        <v>210</v>
      </c>
      <c r="AK39" s="39"/>
      <c r="AL39" s="39"/>
      <c r="AM39" s="224">
        <f>AH39</f>
        <v>1</v>
      </c>
      <c r="AN39" s="220" t="str">
        <f>B19</f>
        <v>Sokol Šitbořice 2</v>
      </c>
      <c r="AO39" s="220" t="str">
        <f>F19</f>
        <v>Doležal Mikuláš</v>
      </c>
      <c r="AP39" s="220">
        <f>R19</f>
        <v>10147164340</v>
      </c>
      <c r="AQ39" s="220" t="str">
        <f>W19</f>
        <v>Doležal Vítek</v>
      </c>
      <c r="AR39" s="220">
        <f>AG19</f>
        <v>10134812200</v>
      </c>
      <c r="BF39" s="98"/>
      <c r="BG39" s="103" t="s">
        <v>121</v>
      </c>
      <c r="BH39" s="103" t="s">
        <v>122</v>
      </c>
      <c r="BI39" s="103" t="s">
        <v>123</v>
      </c>
    </row>
    <row r="40" spans="1:63" ht="24" customHeight="1">
      <c r="A40" s="87" t="s">
        <v>197</v>
      </c>
      <c r="B40" s="81" t="str">
        <f>B20</f>
        <v>Sokol Šitbořice 3</v>
      </c>
      <c r="C40" s="24">
        <f>IF(H39="","",H39)</f>
        <v>0</v>
      </c>
      <c r="D40" s="25" t="s">
        <v>6</v>
      </c>
      <c r="E40" s="25">
        <f>IF(F39="","",F39)</f>
        <v>4</v>
      </c>
      <c r="F40" s="28"/>
      <c r="G40" s="21" t="s">
        <v>6</v>
      </c>
      <c r="H40" s="21"/>
      <c r="I40" s="26">
        <f>IF('Pořadí 10 Teams_2x5_Spielplan'!$L13="","",'Pořadí 10 Teams_2x5_Spielplan'!$L13)</f>
        <v>2</v>
      </c>
      <c r="J40" s="23" t="s">
        <v>6</v>
      </c>
      <c r="K40" s="27">
        <f>IF('Pořadí 10 Teams_2x5_Spielplan'!$N13="","",'Pořadí 10 Teams_2x5_Spielplan'!$N13)</f>
        <v>2</v>
      </c>
      <c r="L40" s="26">
        <f>IF('Pořadí 10 Teams_2x5_Spielplan'!$L19="","",'Pořadí 10 Teams_2x5_Spielplan'!$L19)</f>
        <v>0</v>
      </c>
      <c r="M40" s="23" t="s">
        <v>6</v>
      </c>
      <c r="N40" s="27">
        <f>IF('Pořadí 10 Teams_2x5_Spielplan'!$N19="","",'Pořadí 10 Teams_2x5_Spielplan'!$N19)</f>
        <v>8</v>
      </c>
      <c r="O40" s="36">
        <f>IF('Pořadí 10 Teams_2x5_Spielplan'!$L25="","",'Pořadí 10 Teams_2x5_Spielplan'!$L25)</f>
        <v>0</v>
      </c>
      <c r="P40" s="35" t="s">
        <v>6</v>
      </c>
      <c r="Q40" s="37">
        <f>IF('Pořadí 10 Teams_2x5_Spielplan'!$N25="","",'Pořadí 10 Teams_2x5_Spielplan'!$N25)</f>
        <v>15</v>
      </c>
      <c r="R40" s="80"/>
      <c r="S40" s="78" t="s">
        <v>6</v>
      </c>
      <c r="T40" s="79"/>
      <c r="U40" s="80"/>
      <c r="V40" s="78" t="s">
        <v>6</v>
      </c>
      <c r="W40" s="79"/>
      <c r="X40" s="80"/>
      <c r="Y40" s="78" t="s">
        <v>6</v>
      </c>
      <c r="Z40" s="79"/>
      <c r="AA40" s="80"/>
      <c r="AB40" s="78" t="s">
        <v>6</v>
      </c>
      <c r="AC40" s="93"/>
      <c r="AD40" s="38">
        <f>IF(C40="","",IF(AND(C40="",E40=""),0,IF(C40&gt;E40,3,IF(C40=E40,1,0)))+IF(AND(F40="",H40=""),0,IF(F40&gt;H40,3,IF(F40=H40,1,0)))+IF(AND(I40="",K40=""),0,IF(I40&gt;K40,3,IF(I40=K40,1,0)))+IF(AND(L40="",N40=""),0,IF(L40&gt;N40,3,IF(L40=N40,1,0)))+IF(AND(O40="",Q40=""),0,IF(O40&gt;Q40,3,IF(O40=Q40,1,0)))+IF(AND(R40="",T40=""),0,IF(R40&gt;T40,3,IF(R40=T40,1,0)))+IF(AND(U40="",W40=""),0,IF(U40&gt;W40,3,IF(U40=W40,1,0)))+IF(AND(X40="",Z40=""),0,IF(X40&gt;Z40,3,IF(X40=Z40,1,0)))+IF(AND(AA40="",AC40=""),0,IF(AA40&gt;AC40,3,IF(AA40=AC40,1,0))))</f>
        <v>1</v>
      </c>
      <c r="AE40" s="129">
        <f>IF(H39="","",H39+I40+L40+O40+R40+U40+X40+AA40)</f>
        <v>2</v>
      </c>
      <c r="AF40" s="131" t="s">
        <v>6</v>
      </c>
      <c r="AG40" s="132">
        <f>IF(F39="","",F39+K40+N40+Q40+T40+W40+Z40+AC40)</f>
        <v>29</v>
      </c>
      <c r="AH40" s="162">
        <f>IF(C40="","",RANK(AD40,$AD$39:$AD$43))</f>
        <v>4</v>
      </c>
      <c r="AI40" s="133">
        <f>IF(C40="","",AE40-AG40)</f>
        <v>-27</v>
      </c>
      <c r="AJ40" s="264" t="s">
        <v>211</v>
      </c>
      <c r="AK40" s="266"/>
      <c r="AL40" s="39"/>
      <c r="AM40" s="224">
        <f>AH40</f>
        <v>4</v>
      </c>
      <c r="AN40" s="220" t="str">
        <f>B20</f>
        <v>Sokol Šitbořice 3</v>
      </c>
      <c r="AO40" s="220" t="str">
        <f>F20</f>
        <v>Klein Patrik</v>
      </c>
      <c r="AP40" s="220">
        <f>R20</f>
        <v>10168434521</v>
      </c>
      <c r="AQ40" s="220" t="str">
        <f>W20</f>
        <v>Mayer Václav</v>
      </c>
      <c r="AR40" s="220">
        <f>AG20</f>
        <v>10137204359</v>
      </c>
      <c r="BF40" s="98"/>
      <c r="BG40" s="103" t="s">
        <v>124</v>
      </c>
      <c r="BH40" s="103" t="s">
        <v>125</v>
      </c>
      <c r="BI40" s="103" t="s">
        <v>126</v>
      </c>
    </row>
    <row r="41" spans="1:63" ht="24" customHeight="1">
      <c r="A41" s="87" t="s">
        <v>198</v>
      </c>
      <c r="B41" s="81" t="str">
        <f>B21</f>
        <v>Spartak Chrastava</v>
      </c>
      <c r="C41" s="24">
        <f>IF(K39="","",K39)</f>
        <v>0</v>
      </c>
      <c r="D41" s="25" t="s">
        <v>6</v>
      </c>
      <c r="E41" s="25">
        <f>IF(I39="","",I39)</f>
        <v>13</v>
      </c>
      <c r="F41" s="24">
        <f>IF(K40="","",K40)</f>
        <v>2</v>
      </c>
      <c r="G41" s="25" t="s">
        <v>6</v>
      </c>
      <c r="H41" s="25">
        <f>IF(I40="","",I40)</f>
        <v>2</v>
      </c>
      <c r="I41" s="22"/>
      <c r="J41" s="21" t="s">
        <v>6</v>
      </c>
      <c r="K41" s="21"/>
      <c r="L41" s="26">
        <f>IF('Pořadí 10 Teams_2x5_Spielplan'!$L9="","",'Pořadí 10 Teams_2x5_Spielplan'!$L9)</f>
        <v>0</v>
      </c>
      <c r="M41" s="23" t="s">
        <v>6</v>
      </c>
      <c r="N41" s="27">
        <f>IF('Pořadí 10 Teams_2x5_Spielplan'!$N9="","",'Pořadí 10 Teams_2x5_Spielplan'!$N9)</f>
        <v>13</v>
      </c>
      <c r="O41" s="36">
        <f>IF('Pořadí 10 Teams_2x5_Spielplan'!$L21="","",'Pořadí 10 Teams_2x5_Spielplan'!$L21)</f>
        <v>1</v>
      </c>
      <c r="P41" s="35" t="s">
        <v>6</v>
      </c>
      <c r="Q41" s="37">
        <f>IF('Pořadí 10 Teams_2x5_Spielplan'!$N21="","",'Pořadí 10 Teams_2x5_Spielplan'!$N21)</f>
        <v>9</v>
      </c>
      <c r="R41" s="80"/>
      <c r="S41" s="78" t="s">
        <v>6</v>
      </c>
      <c r="T41" s="79"/>
      <c r="U41" s="80"/>
      <c r="V41" s="78" t="s">
        <v>6</v>
      </c>
      <c r="W41" s="79"/>
      <c r="X41" s="80"/>
      <c r="Y41" s="78" t="s">
        <v>6</v>
      </c>
      <c r="Z41" s="79"/>
      <c r="AA41" s="80"/>
      <c r="AB41" s="78" t="s">
        <v>6</v>
      </c>
      <c r="AC41" s="93"/>
      <c r="AD41" s="38">
        <f>IF(L41="","",IF(AND(C41="",E41=""),0,IF(C41&gt;E41,3,IF(C41=E41,1,0)))+IF(AND(F41="",H41=""),0,IF(F41&gt;H41,3,IF(F41=H41,1,0)))+IF(AND(I41="",K41=""),0,IF(I41&gt;K41,3,IF(I41=K41,1,0)))+IF(AND(L41="",N41=""),0,IF(L41&gt;N41,3,IF(L41=N41,1,0)))+IF(AND(O41="",Q41=""),0,IF(O41&gt;Q41,3,IF(O41=Q41,1,0)))+IF(AND(R41="",T41=""),0,IF(R41&gt;T41,3,IF(R41=T41,1,0)))+IF(AND(U41="",W41=""),0,IF(U41&gt;W41,3,IF(U41=W41,1,0)))+IF(AND(X41="",Z41=""),0,IF(X41&gt;Z41,3,IF(X41=Z41,1,0)))+IF(AND(AA41="",AC41=""),0,IF(AA41&gt;AC41,3,IF(AA41=AC41,1,0))))</f>
        <v>1</v>
      </c>
      <c r="AE41" s="129">
        <f>IF(C41="","",K39+K40+L41+O41+R41+U41+X41+AA41)</f>
        <v>3</v>
      </c>
      <c r="AF41" s="131" t="s">
        <v>6</v>
      </c>
      <c r="AG41" s="129">
        <f>IF(I39="","",I39+I40+N41+Q41+T41+W41+Z41+AC41)</f>
        <v>37</v>
      </c>
      <c r="AH41" s="162">
        <f>IF(C41="","",RANK(AD41,$AD$39:$AD$43))+1</f>
        <v>5</v>
      </c>
      <c r="AI41" s="133">
        <f>IF(C41="","",AE41-AG41)</f>
        <v>-34</v>
      </c>
      <c r="AJ41" s="265" t="s">
        <v>212</v>
      </c>
      <c r="AK41" s="134"/>
      <c r="AL41" s="39"/>
      <c r="AM41" s="224">
        <f>AH41</f>
        <v>5</v>
      </c>
      <c r="AN41" s="220" t="str">
        <f>B21</f>
        <v>Spartak Chrastava</v>
      </c>
      <c r="AO41" s="220" t="str">
        <f>F21</f>
        <v>Havle Petr</v>
      </c>
      <c r="AP41" s="220" t="str">
        <f>R21</f>
        <v>čl.pr. TJ/SK</v>
      </c>
      <c r="AQ41" s="220" t="str">
        <f>W21</f>
        <v>Malý Radek</v>
      </c>
      <c r="AR41" s="220">
        <f>AG21</f>
        <v>10159190320</v>
      </c>
      <c r="BF41" s="98"/>
      <c r="BG41" s="103" t="s">
        <v>45</v>
      </c>
      <c r="BH41" s="103" t="s">
        <v>62</v>
      </c>
      <c r="BI41" s="103" t="s">
        <v>62</v>
      </c>
      <c r="BJ41" s="103"/>
      <c r="BK41" s="262"/>
    </row>
    <row r="42" spans="1:63" ht="24" customHeight="1">
      <c r="A42" s="87" t="s">
        <v>199</v>
      </c>
      <c r="B42" s="81" t="str">
        <f>B22</f>
        <v>Sokol Zlín-Prštné 1</v>
      </c>
      <c r="C42" s="24">
        <f>IF(N39="","",N39)</f>
        <v>1</v>
      </c>
      <c r="D42" s="25" t="s">
        <v>6</v>
      </c>
      <c r="E42" s="25">
        <f>IF(L39="","",L39)</f>
        <v>2</v>
      </c>
      <c r="F42" s="24">
        <f>IF(N40="","",N40)</f>
        <v>8</v>
      </c>
      <c r="G42" s="25" t="s">
        <v>6</v>
      </c>
      <c r="H42" s="25">
        <f>IF(L40="","",L40)</f>
        <v>0</v>
      </c>
      <c r="I42" s="24">
        <f>IF(N41="","",N41)</f>
        <v>13</v>
      </c>
      <c r="J42" s="25" t="s">
        <v>6</v>
      </c>
      <c r="K42" s="25">
        <f>IF(L41="","",L41)</f>
        <v>0</v>
      </c>
      <c r="L42" s="22"/>
      <c r="M42" s="21" t="s">
        <v>6</v>
      </c>
      <c r="N42" s="21"/>
      <c r="O42" s="36">
        <f>IF('Pořadí 10 Teams_2x5_Spielplan'!$L15="","",'Pořadí 10 Teams_2x5_Spielplan'!$L15)</f>
        <v>4</v>
      </c>
      <c r="P42" s="35" t="s">
        <v>6</v>
      </c>
      <c r="Q42" s="37">
        <f>IF('Pořadí 10 Teams_2x5_Spielplan'!$N15="","",'Pořadí 10 Teams_2x5_Spielplan'!$N15)</f>
        <v>0</v>
      </c>
      <c r="R42" s="80"/>
      <c r="S42" s="78" t="s">
        <v>6</v>
      </c>
      <c r="T42" s="79"/>
      <c r="U42" s="80"/>
      <c r="V42" s="78" t="s">
        <v>6</v>
      </c>
      <c r="W42" s="79"/>
      <c r="X42" s="80"/>
      <c r="Y42" s="78" t="s">
        <v>6</v>
      </c>
      <c r="Z42" s="79"/>
      <c r="AA42" s="80"/>
      <c r="AB42" s="78" t="s">
        <v>6</v>
      </c>
      <c r="AC42" s="93"/>
      <c r="AD42" s="38">
        <f>IF(I42="","",IF(AND(C42="",E42=""),0,IF(C42&gt;E42,3,IF(C42=E42,1,0)))+IF(AND(F42="",H42=""),0,IF(F42&gt;H42,3,IF(F42=H42,1,0)))+IF(AND(I42="",K42=""),0,IF(I42&gt;K42,3,IF(I42=K42,1,0)))+IF(AND(L42="",N42=""),0,IF(L42&gt;N42,3,IF(L42=N42,1,0)))+IF(AND(O42="",Q42=""),0,IF(O42&gt;Q42,3,IF(O42=Q42,1,0)))+IF(AND(R42="",T42=""),0,IF(R42&gt;T42,3,IF(R42=T42,1,0)))+IF(AND(U42="",W42=""),0,IF(U42&gt;W42,3,IF(U42=W42,1,0)))+IF(AND(X42="",Z42=""),0,IF(X42&gt;Z42,3,IF(X42=Z42,1,0)))+IF(AND(AA42="",AC42=""),0,IF(AA42&gt;AC42,3,IF(AA42=AC42,1,0))))</f>
        <v>9</v>
      </c>
      <c r="AE42" s="129">
        <f>IF(N39="","",N39+N40+N41+O42+R42+U42+X42+AA42)</f>
        <v>26</v>
      </c>
      <c r="AF42" s="131" t="s">
        <v>6</v>
      </c>
      <c r="AG42" s="129">
        <f>IF(L39="","",L39+L40+L41+Q42+T42+W42+Z42+AC42)</f>
        <v>2</v>
      </c>
      <c r="AH42" s="162">
        <f>IF(C42="","",RANK(AD42,$AD$39:$AD$43))</f>
        <v>2</v>
      </c>
      <c r="AI42" s="133">
        <f>IF(C42="","",AE42-AG42)</f>
        <v>24</v>
      </c>
      <c r="AJ42" s="265" t="s">
        <v>213</v>
      </c>
      <c r="AK42" s="134"/>
      <c r="AL42" s="39"/>
      <c r="AM42" s="224">
        <f>AH42</f>
        <v>2</v>
      </c>
      <c r="AN42" s="220" t="str">
        <f>B22</f>
        <v>Sokol Zlín-Prštné 1</v>
      </c>
      <c r="AO42" s="220" t="str">
        <f>F22</f>
        <v>Samsonek Vít</v>
      </c>
      <c r="AP42" s="220">
        <f>R22</f>
        <v>10148441609</v>
      </c>
      <c r="AQ42" s="220" t="str">
        <f>W22</f>
        <v>Hobza Robert</v>
      </c>
      <c r="AR42" s="220">
        <f>AG22</f>
        <v>10091960428</v>
      </c>
      <c r="BG42" s="103"/>
      <c r="BH42" s="103"/>
      <c r="BI42" s="103"/>
      <c r="BJ42" s="103"/>
      <c r="BK42" s="262"/>
    </row>
    <row r="43" spans="1:63" ht="24" customHeight="1">
      <c r="A43" s="87" t="s">
        <v>200</v>
      </c>
      <c r="B43" s="81" t="str">
        <f>B23</f>
        <v>MILO Olomouc 1</v>
      </c>
      <c r="C43" s="24">
        <f>IF(Q39="","",Q39)</f>
        <v>4</v>
      </c>
      <c r="D43" s="25" t="s">
        <v>6</v>
      </c>
      <c r="E43" s="25">
        <f>IF(O39="","",O39)</f>
        <v>5</v>
      </c>
      <c r="F43" s="24">
        <f>IF(Q40="","",Q40)</f>
        <v>15</v>
      </c>
      <c r="G43" s="25" t="s">
        <v>6</v>
      </c>
      <c r="H43" s="25">
        <f>IF(O40="","",O40)</f>
        <v>0</v>
      </c>
      <c r="I43" s="24">
        <f>IF(Q41="","",Q41)</f>
        <v>9</v>
      </c>
      <c r="J43" s="25" t="s">
        <v>6</v>
      </c>
      <c r="K43" s="25">
        <f>IF(O41="","",O41)</f>
        <v>1</v>
      </c>
      <c r="L43" s="24">
        <f>IF(Q42="","",Q42)</f>
        <v>0</v>
      </c>
      <c r="M43" s="25" t="s">
        <v>6</v>
      </c>
      <c r="N43" s="25">
        <f>IF(O42="","",O42)</f>
        <v>4</v>
      </c>
      <c r="O43" s="22"/>
      <c r="P43" s="21" t="s">
        <v>6</v>
      </c>
      <c r="Q43" s="21"/>
      <c r="R43" s="75"/>
      <c r="S43" s="78" t="s">
        <v>6</v>
      </c>
      <c r="T43" s="77"/>
      <c r="U43" s="75"/>
      <c r="V43" s="78" t="s">
        <v>6</v>
      </c>
      <c r="W43" s="77"/>
      <c r="X43" s="75"/>
      <c r="Y43" s="78" t="s">
        <v>6</v>
      </c>
      <c r="Z43" s="77"/>
      <c r="AA43" s="75"/>
      <c r="AB43" s="78" t="s">
        <v>6</v>
      </c>
      <c r="AC43" s="93"/>
      <c r="AD43" s="38">
        <f>IF(C43="","",IF(AND(C43="",E43=""),0,IF(C43&gt;E43,3,IF(C43=E43,1,0)))+IF(AND(F43="",H43=""),0,IF(F43&gt;H43,3,IF(F43=H43,1,0)))+IF(AND(I43="",K43=""),0,IF(I43&gt;K43,3,IF(I43=K43,1,0)))+IF(AND(L43="",N43=""),0,IF(L43&gt;N43,3,IF(L43=N43,1,0)))+IF(AND(O43="",Q43=""),0,IF(O43&gt;Q43,3,IF(O43=Q43,1,0)))+IF(AND(R43="",T43=""),0,IF(R43&gt;T43,3,IF(R43=T43,1,0)))+IF(AND(U43="",W43=""),0,IF(U43&gt;W43,3,IF(U43=W43,1,0)))+IF(AND(X43="",Z43=""),0,IF(X43&gt;Z43,3,IF(X43=Z43,1,0)))+IF(AND(AA43="",AC43=""),0,IF(AA43&gt;AC43,3,IF(AA43=AC43,1,0))))</f>
        <v>6</v>
      </c>
      <c r="AE43" s="129">
        <f>IF(Q39="","",Q39+Q40+Q41+Q42+R43+U43+X43+AA43)</f>
        <v>28</v>
      </c>
      <c r="AF43" s="131" t="s">
        <v>6</v>
      </c>
      <c r="AG43" s="129">
        <f>IF(O39="","",O39+O40+O41+O42+T43+W43+Z43+AC43)</f>
        <v>10</v>
      </c>
      <c r="AH43" s="162">
        <f>IF(C43="","",RANK(AD43,$AD$39:$AD$43))</f>
        <v>3</v>
      </c>
      <c r="AI43" s="133">
        <f>IF(C43="","",AE43-AG43)</f>
        <v>18</v>
      </c>
      <c r="AJ43" s="265" t="s">
        <v>214</v>
      </c>
      <c r="AK43" s="134"/>
      <c r="AL43" s="39"/>
      <c r="AM43" s="224">
        <f>AH43</f>
        <v>3</v>
      </c>
      <c r="AN43" s="220" t="str">
        <f>B23</f>
        <v>MILO Olomouc 1</v>
      </c>
      <c r="AO43" s="220" t="str">
        <f>F23</f>
        <v>Klesnil Lukáš</v>
      </c>
      <c r="AP43" s="220">
        <f>R23</f>
        <v>10148286712</v>
      </c>
      <c r="AQ43" s="220" t="str">
        <f>W23</f>
        <v>Sedláček Jan</v>
      </c>
      <c r="AR43" s="220">
        <f>AG23</f>
        <v>10158891640</v>
      </c>
    </row>
    <row r="44" spans="1:63" ht="7.5" customHeight="1">
      <c r="AL44" s="39"/>
    </row>
    <row r="45" spans="1:63" ht="15.75" customHeight="1">
      <c r="X45" s="60"/>
      <c r="Y45" s="61"/>
      <c r="Z45" s="61"/>
      <c r="AA45" s="61"/>
      <c r="AB45" s="61"/>
      <c r="AC45" s="62" t="str">
        <f>INDEX(BG29:BI29,$AJ$4)</f>
        <v>kontrola</v>
      </c>
      <c r="AD45" s="63">
        <f>SUM(AD39:AD43)</f>
        <v>29</v>
      </c>
      <c r="AE45" s="64">
        <f>SUM(AE39:AE43)</f>
        <v>83</v>
      </c>
      <c r="AF45" s="65" t="s">
        <v>6</v>
      </c>
      <c r="AG45" s="66">
        <f>SUM(AG39:AG43)</f>
        <v>83</v>
      </c>
      <c r="AI45" s="67">
        <f>SUM(AI39:AI43)</f>
        <v>0</v>
      </c>
      <c r="AL45" s="39"/>
      <c r="BG45" s="220" t="s">
        <v>44</v>
      </c>
      <c r="BH45" s="220" t="s">
        <v>100</v>
      </c>
      <c r="BI45" s="220" t="s">
        <v>101</v>
      </c>
    </row>
    <row r="46" spans="1:63" ht="21.75" customHeight="1">
      <c r="AL46" s="39"/>
      <c r="BG46" s="220" t="s">
        <v>20</v>
      </c>
      <c r="BH46" s="221" t="s">
        <v>145</v>
      </c>
      <c r="BI46" s="220" t="s">
        <v>146</v>
      </c>
    </row>
    <row r="47" spans="1:63" ht="18" customHeight="1">
      <c r="AL47" s="39"/>
      <c r="BG47" s="220" t="s">
        <v>21</v>
      </c>
      <c r="BH47" s="221" t="s">
        <v>97</v>
      </c>
      <c r="BI47" s="221" t="s">
        <v>98</v>
      </c>
    </row>
    <row r="48" spans="1:63" ht="18" customHeight="1">
      <c r="AL48" s="39"/>
      <c r="BG48" s="253" t="s">
        <v>220</v>
      </c>
      <c r="BH48" s="221" t="s">
        <v>221</v>
      </c>
      <c r="BI48" s="221" t="s">
        <v>222</v>
      </c>
      <c r="BJ48" s="220"/>
    </row>
    <row r="49" spans="1:64" ht="5.55" customHeight="1" thickBot="1">
      <c r="AL49" s="39"/>
    </row>
    <row r="50" spans="1:64" ht="24.75" customHeight="1" thickBot="1">
      <c r="A50" s="447" t="str">
        <f>INDEX(BG50:BI50,$AJ$4)</f>
        <v>Utkání o umístění, semifinále a finále</v>
      </c>
      <c r="B50" s="448"/>
      <c r="C50" s="448"/>
      <c r="D50" s="448"/>
      <c r="E50" s="448"/>
      <c r="F50" s="448"/>
      <c r="G50" s="448"/>
      <c r="H50" s="448"/>
      <c r="I50" s="448"/>
      <c r="J50" s="448"/>
      <c r="K50" s="448"/>
      <c r="L50" s="448"/>
      <c r="M50" s="448"/>
      <c r="N50" s="448"/>
      <c r="O50" s="448"/>
      <c r="P50" s="448"/>
      <c r="Q50" s="448"/>
      <c r="R50" s="448"/>
      <c r="S50" s="448"/>
      <c r="T50" s="448"/>
      <c r="U50" s="448"/>
      <c r="V50" s="448"/>
      <c r="W50" s="448"/>
      <c r="X50" s="449"/>
      <c r="AE50"/>
      <c r="AG50"/>
      <c r="AL50" s="39"/>
      <c r="BG50" s="103" t="s">
        <v>151</v>
      </c>
      <c r="BH50" s="103" t="s">
        <v>155</v>
      </c>
      <c r="BI50" s="103" t="s">
        <v>156</v>
      </c>
      <c r="BJ50" s="102"/>
    </row>
    <row r="51" spans="1:64" ht="7.5" customHeight="1">
      <c r="A51" s="32"/>
      <c r="L51" s="33"/>
      <c r="AE51"/>
      <c r="AG51"/>
      <c r="AL51" s="39"/>
      <c r="BF51" s="98"/>
      <c r="BJ51" s="220"/>
    </row>
    <row r="52" spans="1:64">
      <c r="A52" s="441" t="s">
        <v>56</v>
      </c>
      <c r="B52" s="118" t="str">
        <f>INDEX(BG52:BI52,$AJ$4)</f>
        <v>Utkání o 9. a 10. místo  5.A - 5.B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249" t="str">
        <f>INDEX($BG$20:$BI$20,$AJ$4)</f>
        <v>Rozhodčí:</v>
      </c>
      <c r="O52" s="119"/>
      <c r="P52" s="119"/>
      <c r="Q52" s="119"/>
      <c r="R52" s="119"/>
      <c r="S52" s="430" t="str">
        <f>INDEX($BG$45:$BI$45,$AJ$4)</f>
        <v>Branky</v>
      </c>
      <c r="T52" s="433"/>
      <c r="U52" s="433"/>
      <c r="V52" s="433"/>
      <c r="W52" s="433"/>
      <c r="X52" s="433"/>
      <c r="Y52" s="433"/>
      <c r="Z52" s="432"/>
      <c r="AA52" s="430" t="str">
        <f>INDEX($BG$46:$BI$46,$AJ$4)</f>
        <v>Poločas</v>
      </c>
      <c r="AB52" s="431"/>
      <c r="AC52" s="431"/>
      <c r="AD52" s="432"/>
      <c r="AE52" s="438" t="str">
        <f>INDEX($BG$47:$BI$47,$AJ$4)</f>
        <v>Výsledek</v>
      </c>
      <c r="AF52" s="439"/>
      <c r="AG52" s="440"/>
      <c r="AH52" s="2"/>
      <c r="AL52" s="39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 t="s">
        <v>4</v>
      </c>
      <c r="BB52"/>
      <c r="BC52"/>
      <c r="BD52" t="s">
        <v>206</v>
      </c>
      <c r="BE52"/>
      <c r="BF52" s="98"/>
      <c r="BG52" s="221" t="s">
        <v>183</v>
      </c>
      <c r="BH52" s="221" t="s">
        <v>184</v>
      </c>
      <c r="BI52" s="221" t="s">
        <v>185</v>
      </c>
      <c r="BJ52" s="221"/>
      <c r="BK52" s="263"/>
    </row>
    <row r="53" spans="1:64" s="2" customFormat="1" ht="19.05" customHeight="1">
      <c r="A53" s="442"/>
      <c r="B53" s="225" t="str">
        <f>IF($AM$28="","",VLOOKUP(5,$AM$28:$AR$32,2,0))</f>
        <v>Sokol Zlín-Prštné 2</v>
      </c>
      <c r="C53" s="227" t="s">
        <v>6</v>
      </c>
      <c r="D53" s="392" t="str">
        <f>IF($AM$39="","",VLOOKUP(5,$AM$39:$AR$43,2,0))</f>
        <v>Spartak Chrastava</v>
      </c>
      <c r="E53" s="393"/>
      <c r="F53" s="393"/>
      <c r="G53" s="393"/>
      <c r="H53" s="393"/>
      <c r="I53" s="393"/>
      <c r="J53" s="393"/>
      <c r="K53" s="393"/>
      <c r="L53" s="393"/>
      <c r="M53" s="394"/>
      <c r="N53" s="256" t="str">
        <f>IF('Pořadí 10 Teams_2x5_Spielplan'!F31="","",'Pořadí 10 Teams_2x5_Spielplan'!F31)</f>
        <v>x</v>
      </c>
      <c r="P53" s="248"/>
      <c r="Q53" s="248"/>
      <c r="R53" s="248"/>
      <c r="S53" s="415"/>
      <c r="T53" s="393"/>
      <c r="U53" s="393"/>
      <c r="V53" s="394"/>
      <c r="W53" s="416"/>
      <c r="X53" s="417"/>
      <c r="Y53" s="417"/>
      <c r="Z53" s="418"/>
      <c r="AA53" s="390" t="str">
        <f>IF('Pořadí 10 Teams_2x5_Spielplan'!I31="","",'Pořadí 10 Teams_2x5_Spielplan'!I31)</f>
        <v/>
      </c>
      <c r="AB53" s="391"/>
      <c r="AC53" s="233" t="s">
        <v>6</v>
      </c>
      <c r="AD53" s="254" t="str">
        <f>IF('Pořadí 10 Teams_2x5_Spielplan'!K31="","",'Pořadí 10 Teams_2x5_Spielplan'!K31)</f>
        <v/>
      </c>
      <c r="AE53" s="251">
        <f>IF('Pořadí 10 Teams_2x5_Spielplan'!L31="","",'Pořadí 10 Teams_2x5_Spielplan'!L31)</f>
        <v>0</v>
      </c>
      <c r="AF53" s="234" t="s">
        <v>6</v>
      </c>
      <c r="AG53" s="252">
        <f>IF('Pořadí 10 Teams_2x5_Spielplan'!N31="","",'Pořadí 10 Teams_2x5_Spielplan'!N31)</f>
        <v>5</v>
      </c>
      <c r="AH53" s="280"/>
      <c r="AI53" s="34"/>
      <c r="AJ53" s="304" t="s">
        <v>209</v>
      </c>
      <c r="AL53" s="39"/>
      <c r="AM53" s="180">
        <f>BD53</f>
        <v>2</v>
      </c>
      <c r="AN53" s="180" t="str">
        <f>B53</f>
        <v>Sokol Zlín-Prštné 2</v>
      </c>
      <c r="AO53" s="180" t="str">
        <f>IF($AM$28="","",VLOOKUP(5,$AM$28:$AR$32,3,0))</f>
        <v>Hobzová Veronika</v>
      </c>
      <c r="AP53" s="180">
        <f>IF($AM$28="","",VLOOKUP(5,$AM$28:$AR$32,4,0))</f>
        <v>10173983729</v>
      </c>
      <c r="AQ53" s="180" t="str">
        <f>IF($AM$28="","",VLOOKUP(5,$AM$28:$AR$32,5,0))</f>
        <v>Struhařová Sára</v>
      </c>
      <c r="AR53" s="180">
        <f>IF($AM$28="","",VLOOKUP(5,$AM$28:$AR$32,6,0))</f>
        <v>10091960529</v>
      </c>
      <c r="AS53" s="180"/>
      <c r="AT53" s="255" t="str">
        <f>B53</f>
        <v>Sokol Zlín-Prštné 2</v>
      </c>
      <c r="AU53" s="235">
        <f>IF(AE53="","",AE53)</f>
        <v>0</v>
      </c>
      <c r="AV53" s="236" t="s">
        <v>6</v>
      </c>
      <c r="AW53" s="235">
        <f>AG53</f>
        <v>5</v>
      </c>
      <c r="AX53" s="237" t="str">
        <f>AE54</f>
        <v/>
      </c>
      <c r="AY53" s="236" t="s">
        <v>6</v>
      </c>
      <c r="AZ53" s="237" t="str">
        <f>AG54</f>
        <v/>
      </c>
      <c r="BA53" s="238">
        <f>IF(AU53&gt;AW53,3,0)</f>
        <v>0</v>
      </c>
      <c r="BB53" s="239">
        <f>IF(AX53&gt;AZ53,3,0)</f>
        <v>0</v>
      </c>
      <c r="BC53" s="240">
        <f>BA53+BB53</f>
        <v>0</v>
      </c>
      <c r="BD53" s="241">
        <f>IF(AU53="","",RANK(BC53,$BC$53:$BC$54))</f>
        <v>2</v>
      </c>
      <c r="BF53" s="98"/>
      <c r="BL53" s="219"/>
    </row>
    <row r="54" spans="1:64" s="2" customFormat="1" ht="19.05" customHeight="1">
      <c r="A54" s="259"/>
      <c r="B54" s="242"/>
      <c r="C54" s="243"/>
      <c r="D54" s="243"/>
      <c r="E54" s="244"/>
      <c r="F54" s="245"/>
      <c r="G54" s="243"/>
      <c r="H54" s="243"/>
      <c r="I54" s="246"/>
      <c r="J54" s="246"/>
      <c r="K54" s="246"/>
      <c r="L54" s="246"/>
      <c r="M54" s="246"/>
      <c r="N54" s="250" t="str">
        <f>INDEX($BG$48:$BI$48,$AJ$4)</f>
        <v>4M údery a konečný výsledek</v>
      </c>
      <c r="O54" s="228"/>
      <c r="P54" s="228"/>
      <c r="Q54" s="228"/>
      <c r="R54" s="229"/>
      <c r="S54" s="229"/>
      <c r="T54" s="229"/>
      <c r="U54" s="247"/>
      <c r="V54" s="230"/>
      <c r="W54" s="226"/>
      <c r="X54" s="231"/>
      <c r="Y54" s="231"/>
      <c r="Z54" s="232"/>
      <c r="AA54" s="390" t="str">
        <f>IF('Pořadí 10 Teams_2x5_Spielplan'!I32="","",'Pořadí 10 Teams_2x5_Spielplan'!I32)</f>
        <v/>
      </c>
      <c r="AB54" s="391"/>
      <c r="AC54" s="233" t="s">
        <v>6</v>
      </c>
      <c r="AD54" s="254" t="str">
        <f>IF('Pořadí 10 Teams_2x5_Spielplan'!K32="","",'Pořadí 10 Teams_2x5_Spielplan'!K32)</f>
        <v/>
      </c>
      <c r="AE54" s="286" t="str">
        <f>IF('Pořadí 10 Teams_2x5_Spielplan'!L32="","",'Pořadí 10 Teams_2x5_Spielplan'!L32)</f>
        <v/>
      </c>
      <c r="AF54" s="258" t="s">
        <v>6</v>
      </c>
      <c r="AG54" s="287" t="str">
        <f>IF('Pořadí 10 Teams_2x5_Spielplan'!N32="","",'Pořadí 10 Teams_2x5_Spielplan'!N32)</f>
        <v/>
      </c>
      <c r="AH54" s="280"/>
      <c r="AI54" s="34"/>
      <c r="AJ54" s="267" t="s">
        <v>229</v>
      </c>
      <c r="AL54" s="39"/>
      <c r="AM54" s="180">
        <f>BD54</f>
        <v>1</v>
      </c>
      <c r="AN54" s="180" t="str">
        <f>D53</f>
        <v>Spartak Chrastava</v>
      </c>
      <c r="AO54" s="180" t="str">
        <f>IF($AM$39="","",VLOOKUP(5,$AM$39:$AR$43,3,0))</f>
        <v>Havle Petr</v>
      </c>
      <c r="AP54" s="180" t="str">
        <f>IF($AM$39="","",VLOOKUP(5,$AM$39:$AR$43,4,0))</f>
        <v>čl.pr. TJ/SK</v>
      </c>
      <c r="AQ54" s="180" t="str">
        <f>IF($AM$39="","",VLOOKUP(5,$AM$39:$AR$43,5,0))</f>
        <v>Malý Radek</v>
      </c>
      <c r="AR54" s="180">
        <f>IF($AM$39="","",VLOOKUP(5,$AM$39:$AR$43,6,0))</f>
        <v>10159190320</v>
      </c>
      <c r="AS54" s="180"/>
      <c r="AT54" s="255" t="str">
        <f>D53</f>
        <v>Spartak Chrastava</v>
      </c>
      <c r="AU54" s="235">
        <f>AG53</f>
        <v>5</v>
      </c>
      <c r="AV54" s="236" t="s">
        <v>6</v>
      </c>
      <c r="AW54" s="235">
        <f>AE53</f>
        <v>0</v>
      </c>
      <c r="AX54" s="237" t="str">
        <f>AZ53</f>
        <v/>
      </c>
      <c r="AY54" s="236" t="s">
        <v>6</v>
      </c>
      <c r="AZ54" s="237" t="str">
        <f>AX53</f>
        <v/>
      </c>
      <c r="BA54" s="238">
        <f>IF(AU54&gt;AW54,3,0)</f>
        <v>3</v>
      </c>
      <c r="BB54" s="239">
        <f>IF(AX54&gt;AZ54,3,0)</f>
        <v>0</v>
      </c>
      <c r="BC54" s="240">
        <f>BA54+BB54</f>
        <v>3</v>
      </c>
      <c r="BD54" s="241">
        <f>IF(AU54="","",RANK(BC54,$BC$53:$BC$54))</f>
        <v>1</v>
      </c>
      <c r="BF54" s="98"/>
      <c r="BG54" s="220"/>
      <c r="BJ54"/>
      <c r="BK54" s="219"/>
      <c r="BL54" s="219"/>
    </row>
    <row r="55" spans="1:64" ht="7.05" customHeight="1">
      <c r="A55" s="32"/>
      <c r="L55" s="33"/>
      <c r="AA55" s="288"/>
      <c r="AB55" s="288"/>
      <c r="AC55" s="288"/>
      <c r="AD55" s="288"/>
      <c r="AE55" s="288"/>
      <c r="AF55" s="288"/>
      <c r="AG55" s="288"/>
      <c r="AH55" s="2"/>
      <c r="AL55" s="39"/>
      <c r="BF55" s="98"/>
      <c r="BJ55" s="220"/>
    </row>
    <row r="56" spans="1:64">
      <c r="A56" s="441" t="s">
        <v>57</v>
      </c>
      <c r="B56" s="257" t="str">
        <f>INDEX(BG56:BI56,$AJ$4)</f>
        <v>1.Semifinále 1.A - 2.B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249" t="str">
        <f>INDEX($BG$20:$BI$20,$AJ$4)</f>
        <v>Rozhodčí:</v>
      </c>
      <c r="O56" s="119"/>
      <c r="P56" s="119"/>
      <c r="Q56" s="119"/>
      <c r="R56" s="119"/>
      <c r="S56" s="430" t="str">
        <f>INDEX($BG$45:$BI$45,$AJ$4)</f>
        <v>Branky</v>
      </c>
      <c r="T56" s="433"/>
      <c r="U56" s="433"/>
      <c r="V56" s="433"/>
      <c r="W56" s="433"/>
      <c r="X56" s="433"/>
      <c r="Y56" s="433"/>
      <c r="Z56" s="432"/>
      <c r="AA56" s="395" t="str">
        <f>INDEX($BG$46:$BI$46,$AJ$4)</f>
        <v>Poločas</v>
      </c>
      <c r="AB56" s="396"/>
      <c r="AC56" s="396"/>
      <c r="AD56" s="397"/>
      <c r="AE56" s="426" t="str">
        <f>INDEX($BG$47:$BI$47,$AJ$4)</f>
        <v>Výsledek</v>
      </c>
      <c r="AF56" s="427"/>
      <c r="AG56" s="428"/>
      <c r="AH56" s="2"/>
      <c r="AL56" s="39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 t="s">
        <v>4</v>
      </c>
      <c r="BB56"/>
      <c r="BC56"/>
      <c r="BD56" t="s">
        <v>206</v>
      </c>
      <c r="BE56"/>
      <c r="BF56" s="98"/>
      <c r="BG56" s="223" t="s">
        <v>152</v>
      </c>
      <c r="BH56" s="223" t="s">
        <v>167</v>
      </c>
      <c r="BI56" s="223" t="s">
        <v>164</v>
      </c>
      <c r="BJ56" s="221"/>
    </row>
    <row r="57" spans="1:64" s="2" customFormat="1" ht="19.05" customHeight="1">
      <c r="A57" s="442"/>
      <c r="B57" s="225" t="str">
        <f>IF($AM$28="","",VLOOKUP(1,$AM$28:$AR$32,2,0))</f>
        <v>Sokol Šitbořice 1</v>
      </c>
      <c r="C57" s="227" t="s">
        <v>6</v>
      </c>
      <c r="D57" s="392" t="str">
        <f>IF($AM$39="","",VLOOKUP(2,$AM$39:$AR$43,2,0))</f>
        <v>Sokol Zlín-Prštné 1</v>
      </c>
      <c r="E57" s="393"/>
      <c r="F57" s="393"/>
      <c r="G57" s="393"/>
      <c r="H57" s="393"/>
      <c r="I57" s="393"/>
      <c r="J57" s="393"/>
      <c r="K57" s="393"/>
      <c r="L57" s="393"/>
      <c r="M57" s="394"/>
      <c r="N57" s="256" t="str">
        <f>IF('Pořadí 10 Teams_2x5_Spielplan'!F34="","",'Pořadí 10 Teams_2x5_Spielplan'!F34)</f>
        <v>Brodský</v>
      </c>
      <c r="P57" s="248"/>
      <c r="Q57" s="248"/>
      <c r="R57" s="248"/>
      <c r="S57" s="415"/>
      <c r="T57" s="393"/>
      <c r="U57" s="393"/>
      <c r="V57" s="394"/>
      <c r="W57" s="416"/>
      <c r="X57" s="417"/>
      <c r="Y57" s="417"/>
      <c r="Z57" s="418"/>
      <c r="AA57" s="390">
        <f>IF('Pořadí 10 Teams_2x5_Spielplan'!I34="","",'Pořadí 10 Teams_2x5_Spielplan'!I34)</f>
        <v>2</v>
      </c>
      <c r="AB57" s="391"/>
      <c r="AC57" s="233" t="s">
        <v>6</v>
      </c>
      <c r="AD57" s="254">
        <f>IF('Pořadí 10 Teams_2x5_Spielplan'!K34="","",'Pořadí 10 Teams_2x5_Spielplan'!K34)</f>
        <v>1</v>
      </c>
      <c r="AE57" s="251">
        <f>IF('Pořadí 10 Teams_2x5_Spielplan'!L34="","",'Pořadí 10 Teams_2x5_Spielplan'!L34)</f>
        <v>3</v>
      </c>
      <c r="AF57" s="234" t="s">
        <v>6</v>
      </c>
      <c r="AG57" s="252">
        <f>IF('Pořadí 10 Teams_2x5_Spielplan'!N34="","",'Pořadí 10 Teams_2x5_Spielplan'!N34)</f>
        <v>4</v>
      </c>
      <c r="AH57" s="280"/>
      <c r="AI57" s="34"/>
      <c r="AJ57" s="304" t="s">
        <v>209</v>
      </c>
      <c r="AL57" s="39"/>
      <c r="AM57" s="180">
        <f>IF(BD57="","",BD57)</f>
        <v>2</v>
      </c>
      <c r="AN57" s="180" t="str">
        <f>B57</f>
        <v>Sokol Šitbořice 1</v>
      </c>
      <c r="AO57" s="180" t="str">
        <f>IF($AM$28="","",VLOOKUP(1,$AM$28:$AR$32,3,0))</f>
        <v>Kyzlink Filip</v>
      </c>
      <c r="AP57" s="180">
        <f>IF($AM$28="","",VLOOKUP(1,$AM$28:$AR$32,4,0))</f>
        <v>10157654383</v>
      </c>
      <c r="AQ57" s="180" t="str">
        <f>IF($AM$28="","",VLOOKUP(1,$AM$28:$AR$32,5,0))</f>
        <v>Šabata Matěj</v>
      </c>
      <c r="AR57" s="180">
        <f>IF($AM$28="","",VLOOKUP(1,$AM$28:$AR$32,6,0))</f>
        <v>10099764177</v>
      </c>
      <c r="AS57" s="180"/>
      <c r="AT57" s="255" t="str">
        <f>B57</f>
        <v>Sokol Šitbořice 1</v>
      </c>
      <c r="AU57" s="235">
        <f>AE57</f>
        <v>3</v>
      </c>
      <c r="AV57" s="236" t="s">
        <v>6</v>
      </c>
      <c r="AW57" s="235">
        <f>AG57</f>
        <v>4</v>
      </c>
      <c r="AX57" s="237" t="str">
        <f>AE58</f>
        <v/>
      </c>
      <c r="AY57" s="236" t="s">
        <v>6</v>
      </c>
      <c r="AZ57" s="237" t="str">
        <f>AG58</f>
        <v/>
      </c>
      <c r="BA57" s="238">
        <f>IF(AU57&gt;AW57,3,0)</f>
        <v>0</v>
      </c>
      <c r="BB57" s="239">
        <f>IF(AX57&gt;AZ57,3,0)</f>
        <v>0</v>
      </c>
      <c r="BC57" s="240">
        <f>BA57+BB57</f>
        <v>0</v>
      </c>
      <c r="BD57" s="241">
        <f>IF(AT57="","",RANK(BC57,$BC$57:$BC$58))</f>
        <v>2</v>
      </c>
      <c r="BF57" s="98"/>
      <c r="BG57" s="220"/>
      <c r="BH57" s="221"/>
      <c r="BI57" s="221"/>
      <c r="BK57" s="219"/>
      <c r="BL57" s="219"/>
    </row>
    <row r="58" spans="1:64" s="2" customFormat="1" ht="19.05" customHeight="1">
      <c r="A58" s="259"/>
      <c r="B58" s="242"/>
      <c r="C58" s="243"/>
      <c r="D58" s="243"/>
      <c r="E58" s="244"/>
      <c r="F58" s="245"/>
      <c r="G58" s="243"/>
      <c r="H58" s="243"/>
      <c r="I58" s="246"/>
      <c r="J58" s="246"/>
      <c r="K58" s="246"/>
      <c r="L58" s="246"/>
      <c r="M58" s="246"/>
      <c r="N58" s="250" t="str">
        <f>INDEX($BG$48:$BI$48,$AJ$4)</f>
        <v>4M údery a konečný výsledek</v>
      </c>
      <c r="O58" s="228"/>
      <c r="P58" s="228"/>
      <c r="Q58" s="228"/>
      <c r="R58" s="229"/>
      <c r="S58" s="229"/>
      <c r="T58" s="229"/>
      <c r="U58" s="247"/>
      <c r="V58" s="230"/>
      <c r="W58" s="226"/>
      <c r="X58" s="231"/>
      <c r="Y58" s="231"/>
      <c r="Z58" s="232"/>
      <c r="AA58" s="390" t="str">
        <f>IF('Pořadí 10 Teams_2x5_Spielplan'!I35="","",'Pořadí 10 Teams_2x5_Spielplan'!I35)</f>
        <v/>
      </c>
      <c r="AB58" s="391"/>
      <c r="AC58" s="233" t="s">
        <v>6</v>
      </c>
      <c r="AD58" s="254" t="str">
        <f>IF('Pořadí 10 Teams_2x5_Spielplan'!K35="","",'Pořadí 10 Teams_2x5_Spielplan'!K35)</f>
        <v/>
      </c>
      <c r="AE58" s="286" t="str">
        <f>IF('Pořadí 10 Teams_2x5_Spielplan'!L35="","",'Pořadí 10 Teams_2x5_Spielplan'!L35)</f>
        <v/>
      </c>
      <c r="AF58" s="258" t="s">
        <v>6</v>
      </c>
      <c r="AG58" s="287" t="str">
        <f>IF('Pořadí 10 Teams_2x5_Spielplan'!N35="","",'Pořadí 10 Teams_2x5_Spielplan'!N35)</f>
        <v/>
      </c>
      <c r="AH58" s="280"/>
      <c r="AI58" s="34"/>
      <c r="AJ58" s="267" t="s">
        <v>229</v>
      </c>
      <c r="AL58" s="39"/>
      <c r="AM58" s="180">
        <f>BD58</f>
        <v>1</v>
      </c>
      <c r="AN58" s="180" t="str">
        <f>D57</f>
        <v>Sokol Zlín-Prštné 1</v>
      </c>
      <c r="AO58" s="180" t="str">
        <f>IF($AM$39="","",VLOOKUP(2,$AM$39:$AR$43,3,0))</f>
        <v>Samsonek Vít</v>
      </c>
      <c r="AP58" s="180">
        <f>IF($AM$39="","",VLOOKUP(2,$AM$39:$AR$43,4,0))</f>
        <v>10148441609</v>
      </c>
      <c r="AQ58" s="180" t="str">
        <f>IF($AM$39="","",VLOOKUP(2,$AM$39:$AR$43,5,0))</f>
        <v>Hobza Robert</v>
      </c>
      <c r="AR58" s="180">
        <f>IF($AM$39="","",VLOOKUP(2,$AM$39:$AR$43,6,0))</f>
        <v>10091960428</v>
      </c>
      <c r="AS58" s="180"/>
      <c r="AT58" s="255" t="str">
        <f>D57</f>
        <v>Sokol Zlín-Prštné 1</v>
      </c>
      <c r="AU58" s="235">
        <f>AG57</f>
        <v>4</v>
      </c>
      <c r="AV58" s="236" t="s">
        <v>6</v>
      </c>
      <c r="AW58" s="235">
        <f>AE57</f>
        <v>3</v>
      </c>
      <c r="AX58" s="237" t="str">
        <f>AZ57</f>
        <v/>
      </c>
      <c r="AY58" s="236" t="s">
        <v>6</v>
      </c>
      <c r="AZ58" s="237" t="str">
        <f>AX57</f>
        <v/>
      </c>
      <c r="BA58" s="238">
        <f>IF(AU58&gt;AW58,3,0)</f>
        <v>3</v>
      </c>
      <c r="BB58" s="239">
        <f>IF(AX58&gt;AZ58,3,0)</f>
        <v>0</v>
      </c>
      <c r="BC58" s="240">
        <f>BA58+BB58</f>
        <v>3</v>
      </c>
      <c r="BD58" s="241">
        <f>IF(AT58="","",RANK(BC58,$BC$57:$BC$58))</f>
        <v>1</v>
      </c>
      <c r="BF58" s="98"/>
      <c r="BH58" s="221"/>
      <c r="BI58" s="221"/>
      <c r="BJ58"/>
      <c r="BK58" s="219"/>
      <c r="BL58" s="219"/>
    </row>
    <row r="59" spans="1:64" ht="7.05" customHeight="1">
      <c r="A59" s="32"/>
      <c r="L59" s="33"/>
      <c r="AA59" s="288"/>
      <c r="AB59" s="288"/>
      <c r="AC59" s="288"/>
      <c r="AD59" s="288"/>
      <c r="AE59" s="288"/>
      <c r="AF59" s="288"/>
      <c r="AG59" s="288"/>
      <c r="AH59" s="2"/>
      <c r="AL59" s="39"/>
      <c r="BF59" s="98"/>
      <c r="BJ59" s="220"/>
    </row>
    <row r="60" spans="1:64">
      <c r="A60" s="441" t="s">
        <v>58</v>
      </c>
      <c r="B60" s="118" t="str">
        <f>INDEX(BG60:BI60,$AJ$4)</f>
        <v>Utkání o 7. a 8. místo  4.A - 4.B</v>
      </c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249" t="str">
        <f>INDEX($BG$20:$BI$20,$AJ$4)</f>
        <v>Rozhodčí:</v>
      </c>
      <c r="O60" s="119"/>
      <c r="P60" s="119"/>
      <c r="Q60" s="119"/>
      <c r="R60" s="119"/>
      <c r="S60" s="430" t="str">
        <f>INDEX($BG$45:$BI$45,$AJ$4)</f>
        <v>Branky</v>
      </c>
      <c r="T60" s="433"/>
      <c r="U60" s="433"/>
      <c r="V60" s="433"/>
      <c r="W60" s="433"/>
      <c r="X60" s="433"/>
      <c r="Y60" s="433"/>
      <c r="Z60" s="432"/>
      <c r="AA60" s="395" t="str">
        <f>INDEX($BG$46:$BI$46,$AJ$4)</f>
        <v>Poločas</v>
      </c>
      <c r="AB60" s="396"/>
      <c r="AC60" s="396"/>
      <c r="AD60" s="397"/>
      <c r="AE60" s="426" t="str">
        <f>INDEX($BG$47:$BI$47,$AJ$4)</f>
        <v>Výsledek</v>
      </c>
      <c r="AF60" s="427"/>
      <c r="AG60" s="428"/>
      <c r="AH60" s="2"/>
      <c r="AL60" s="39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 t="s">
        <v>4</v>
      </c>
      <c r="BB60"/>
      <c r="BC60"/>
      <c r="BD60" t="s">
        <v>206</v>
      </c>
      <c r="BE60"/>
      <c r="BF60" s="98"/>
      <c r="BG60" s="221" t="s">
        <v>186</v>
      </c>
      <c r="BH60" s="221" t="s">
        <v>187</v>
      </c>
      <c r="BI60" s="221" t="s">
        <v>188</v>
      </c>
      <c r="BJ60" s="221"/>
    </row>
    <row r="61" spans="1:64" s="2" customFormat="1" ht="19.05" customHeight="1">
      <c r="A61" s="442"/>
      <c r="B61" s="225" t="str">
        <f>IF($AM$28="","",VLOOKUP(4,$AM$28:$AR$32,2,0))</f>
        <v>MILO Olomouc 2</v>
      </c>
      <c r="C61" s="227" t="s">
        <v>6</v>
      </c>
      <c r="D61" s="392" t="str">
        <f>IF($AM$39="","",VLOOKUP(4,$AM$39:$AR$43,2,0))</f>
        <v>Sokol Šitbořice 3</v>
      </c>
      <c r="E61" s="393"/>
      <c r="F61" s="393"/>
      <c r="G61" s="393"/>
      <c r="H61" s="393"/>
      <c r="I61" s="393"/>
      <c r="J61" s="393"/>
      <c r="K61" s="393"/>
      <c r="L61" s="393"/>
      <c r="M61" s="394"/>
      <c r="N61" s="256" t="str">
        <f>IF('Pořadí 10 Teams_2x5_Spielplan'!F37="","",'Pořadí 10 Teams_2x5_Spielplan'!F37)</f>
        <v>Struhař</v>
      </c>
      <c r="P61" s="248"/>
      <c r="Q61" s="248"/>
      <c r="R61" s="248"/>
      <c r="S61" s="415"/>
      <c r="T61" s="393"/>
      <c r="U61" s="393"/>
      <c r="V61" s="394"/>
      <c r="W61" s="416"/>
      <c r="X61" s="417"/>
      <c r="Y61" s="417"/>
      <c r="Z61" s="418"/>
      <c r="AA61" s="390">
        <f>IF('Pořadí 10 Teams_2x5_Spielplan'!I37="","",'Pořadí 10 Teams_2x5_Spielplan'!I37)</f>
        <v>4</v>
      </c>
      <c r="AB61" s="391"/>
      <c r="AC61" s="233" t="s">
        <v>6</v>
      </c>
      <c r="AD61" s="254">
        <f>IF('Pořadí 10 Teams_2x5_Spielplan'!K37="","",'Pořadí 10 Teams_2x5_Spielplan'!K37)</f>
        <v>0</v>
      </c>
      <c r="AE61" s="251">
        <f>IF('Pořadí 10 Teams_2x5_Spielplan'!L37="","",'Pořadí 10 Teams_2x5_Spielplan'!L37)</f>
        <v>7</v>
      </c>
      <c r="AF61" s="234" t="s">
        <v>6</v>
      </c>
      <c r="AG61" s="252">
        <f>IF('Pořadí 10 Teams_2x5_Spielplan'!N37="","",'Pořadí 10 Teams_2x5_Spielplan'!N37)</f>
        <v>0</v>
      </c>
      <c r="AH61" s="280"/>
      <c r="AI61" s="34"/>
      <c r="AJ61" s="304" t="s">
        <v>209</v>
      </c>
      <c r="AL61" s="39"/>
      <c r="AM61" s="180">
        <f>BD61</f>
        <v>1</v>
      </c>
      <c r="AN61" s="180" t="str">
        <f>B61</f>
        <v>MILO Olomouc 2</v>
      </c>
      <c r="AO61" s="180" t="str">
        <f>IF($AM$28="","",VLOOKUP(4,$AM$28:$AR$32,3,0))</f>
        <v>Klesnil Vilém</v>
      </c>
      <c r="AP61" s="180">
        <f>IF($AM$28="","",VLOOKUP(4,$AM$28:$AR$32,4,0))</f>
        <v>10148287621</v>
      </c>
      <c r="AQ61" s="180" t="str">
        <f>IF($AM$28="","",VLOOKUP(4,$AM$28:$AR$32,5,0))</f>
        <v>Šimlík Bohdan</v>
      </c>
      <c r="AR61" s="180">
        <f>IF($AM$28="","",VLOOKUP(4,$AM$28:$AR$32,6,0))</f>
        <v>10135701162</v>
      </c>
      <c r="AS61" s="180"/>
      <c r="AT61" s="255" t="str">
        <f>B61</f>
        <v>MILO Olomouc 2</v>
      </c>
      <c r="AU61" s="235">
        <f>AE61</f>
        <v>7</v>
      </c>
      <c r="AV61" s="236" t="s">
        <v>6</v>
      </c>
      <c r="AW61" s="235">
        <f>AG61</f>
        <v>0</v>
      </c>
      <c r="AX61" s="237" t="str">
        <f>AE62</f>
        <v/>
      </c>
      <c r="AY61" s="236" t="s">
        <v>6</v>
      </c>
      <c r="AZ61" s="237" t="str">
        <f>AG62</f>
        <v/>
      </c>
      <c r="BA61" s="238">
        <f>IF(AU61&gt;AW61,3,0)</f>
        <v>3</v>
      </c>
      <c r="BB61" s="239">
        <f>IF(AX61&gt;AZ61,3,0)</f>
        <v>0</v>
      </c>
      <c r="BC61" s="240">
        <f>BA61+BB61</f>
        <v>3</v>
      </c>
      <c r="BD61" s="241">
        <f>IF(AT61="","",RANK(BC61,$BC$61:$BC$62))</f>
        <v>1</v>
      </c>
      <c r="BF61" s="98"/>
      <c r="BH61" s="221"/>
      <c r="BI61" s="221"/>
      <c r="BK61" s="219"/>
      <c r="BL61" s="219"/>
    </row>
    <row r="62" spans="1:64" s="2" customFormat="1" ht="19.05" customHeight="1">
      <c r="A62" s="259"/>
      <c r="B62" s="242"/>
      <c r="C62" s="243"/>
      <c r="D62" s="243"/>
      <c r="E62" s="244"/>
      <c r="F62" s="245"/>
      <c r="G62" s="243"/>
      <c r="H62" s="243"/>
      <c r="I62" s="246"/>
      <c r="J62" s="246"/>
      <c r="K62" s="246"/>
      <c r="L62" s="246"/>
      <c r="M62" s="246"/>
      <c r="N62" s="250" t="str">
        <f>INDEX($BG$48:$BI$48,$AJ$4)</f>
        <v>4M údery a konečný výsledek</v>
      </c>
      <c r="O62" s="228"/>
      <c r="P62" s="228"/>
      <c r="Q62" s="228"/>
      <c r="R62" s="229"/>
      <c r="S62" s="229"/>
      <c r="T62" s="229"/>
      <c r="U62" s="247"/>
      <c r="V62" s="230"/>
      <c r="W62" s="226"/>
      <c r="X62" s="231"/>
      <c r="Y62" s="231"/>
      <c r="Z62" s="232"/>
      <c r="AA62" s="390" t="str">
        <f>IF('Pořadí 10 Teams_2x5_Spielplan'!I38="","",'Pořadí 10 Teams_2x5_Spielplan'!I38)</f>
        <v/>
      </c>
      <c r="AB62" s="391"/>
      <c r="AC62" s="233" t="s">
        <v>6</v>
      </c>
      <c r="AD62" s="254" t="str">
        <f>IF('Pořadí 10 Teams_2x5_Spielplan'!K38="","",'Pořadí 10 Teams_2x5_Spielplan'!K38)</f>
        <v/>
      </c>
      <c r="AE62" s="286" t="str">
        <f>IF('Pořadí 10 Teams_2x5_Spielplan'!L38="","",'Pořadí 10 Teams_2x5_Spielplan'!L38)</f>
        <v/>
      </c>
      <c r="AF62" s="258" t="s">
        <v>6</v>
      </c>
      <c r="AG62" s="287" t="str">
        <f>IF('Pořadí 10 Teams_2x5_Spielplan'!N38="","",'Pořadí 10 Teams_2x5_Spielplan'!N38)</f>
        <v/>
      </c>
      <c r="AH62" s="280"/>
      <c r="AI62" s="34"/>
      <c r="AJ62" s="267" t="s">
        <v>229</v>
      </c>
      <c r="AL62" s="39"/>
      <c r="AM62" s="180">
        <f>BD62</f>
        <v>2</v>
      </c>
      <c r="AN62" s="180" t="str">
        <f>D61</f>
        <v>Sokol Šitbořice 3</v>
      </c>
      <c r="AO62" s="180" t="str">
        <f>IF($AM$39="","",VLOOKUP(4,$AM$39:$AR$43,3,0))</f>
        <v>Klein Patrik</v>
      </c>
      <c r="AP62" s="180">
        <f>IF($AM$39="","",VLOOKUP(4,$AM$39:$AR$43,4,0))</f>
        <v>10168434521</v>
      </c>
      <c r="AQ62" s="180" t="str">
        <f>IF($AM$39="","",VLOOKUP(4,$AM$39:$AR$43,5,0))</f>
        <v>Mayer Václav</v>
      </c>
      <c r="AR62" s="180">
        <f>IF($AM$39="","",VLOOKUP(4,$AM$39:$AR$43,6,0))</f>
        <v>10137204359</v>
      </c>
      <c r="AS62" s="180"/>
      <c r="AT62" s="255" t="str">
        <f>D61</f>
        <v>Sokol Šitbořice 3</v>
      </c>
      <c r="AU62" s="235">
        <f>AG61</f>
        <v>0</v>
      </c>
      <c r="AV62" s="236" t="s">
        <v>6</v>
      </c>
      <c r="AW62" s="235">
        <f>AE61</f>
        <v>7</v>
      </c>
      <c r="AX62" s="237" t="str">
        <f>AZ61</f>
        <v/>
      </c>
      <c r="AY62" s="236" t="s">
        <v>6</v>
      </c>
      <c r="AZ62" s="237" t="str">
        <f>AX61</f>
        <v/>
      </c>
      <c r="BA62" s="238">
        <f>IF(AU62&gt;AW62,3,0)</f>
        <v>0</v>
      </c>
      <c r="BB62" s="239">
        <f>IF(AX62&gt;AZ62,3,0)</f>
        <v>0</v>
      </c>
      <c r="BC62" s="240">
        <f>BA62+BB62</f>
        <v>0</v>
      </c>
      <c r="BD62" s="241">
        <f>IF(AT62="","",RANK(BC62,$BC$61:$BC$62))</f>
        <v>2</v>
      </c>
      <c r="BF62" s="98"/>
      <c r="BG62" s="222"/>
      <c r="BH62" s="221"/>
      <c r="BI62" s="221"/>
      <c r="BJ62"/>
      <c r="BK62" s="219"/>
      <c r="BL62" s="219"/>
    </row>
    <row r="63" spans="1:64" ht="7.05" customHeight="1">
      <c r="A63" s="32"/>
      <c r="L63" s="33"/>
      <c r="AA63" s="288"/>
      <c r="AB63" s="288"/>
      <c r="AC63" s="288"/>
      <c r="AD63" s="288"/>
      <c r="AE63" s="288"/>
      <c r="AF63" s="288"/>
      <c r="AG63" s="288"/>
      <c r="AH63" s="2"/>
      <c r="AL63" s="39"/>
      <c r="BF63" s="98"/>
      <c r="BJ63" s="220"/>
    </row>
    <row r="64" spans="1:64">
      <c r="A64" s="441" t="s">
        <v>59</v>
      </c>
      <c r="B64" s="257" t="str">
        <f>INDEX(BG64:BI64,$AJ$4)</f>
        <v>2.Semifinále 2.A - 1.B</v>
      </c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249" t="str">
        <f>INDEX($BG$20:$BI$20,$AJ$4)</f>
        <v>Rozhodčí:</v>
      </c>
      <c r="O64" s="119"/>
      <c r="P64" s="119"/>
      <c r="Q64" s="119"/>
      <c r="R64" s="119"/>
      <c r="S64" s="430" t="str">
        <f>INDEX($BG$45:$BI$45,$AJ$4)</f>
        <v>Branky</v>
      </c>
      <c r="T64" s="433"/>
      <c r="U64" s="433"/>
      <c r="V64" s="433"/>
      <c r="W64" s="433"/>
      <c r="X64" s="433"/>
      <c r="Y64" s="433"/>
      <c r="Z64" s="432"/>
      <c r="AA64" s="395" t="str">
        <f>INDEX($BG$46:$BI$46,$AJ$4)</f>
        <v>Poločas</v>
      </c>
      <c r="AB64" s="396"/>
      <c r="AC64" s="396"/>
      <c r="AD64" s="397"/>
      <c r="AE64" s="426" t="str">
        <f>INDEX($BG$47:$BI$47,$AJ$4)</f>
        <v>Výsledek</v>
      </c>
      <c r="AF64" s="427"/>
      <c r="AG64" s="428"/>
      <c r="AH64" s="2"/>
      <c r="AL64" s="39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 t="s">
        <v>4</v>
      </c>
      <c r="BB64"/>
      <c r="BC64"/>
      <c r="BD64" t="s">
        <v>206</v>
      </c>
      <c r="BE64"/>
      <c r="BF64" s="98"/>
      <c r="BG64" s="221" t="s">
        <v>153</v>
      </c>
      <c r="BH64" s="221" t="s">
        <v>166</v>
      </c>
      <c r="BI64" s="221" t="s">
        <v>165</v>
      </c>
      <c r="BJ64" s="221"/>
    </row>
    <row r="65" spans="1:64" s="2" customFormat="1" ht="19.05" customHeight="1">
      <c r="A65" s="442"/>
      <c r="B65" s="225" t="str">
        <f>IF($AM$28="","",VLOOKUP(2,$AM$28:$AR$32,2,0))</f>
        <v>Liberec - Chrastava</v>
      </c>
      <c r="C65" s="227" t="s">
        <v>6</v>
      </c>
      <c r="D65" s="392" t="str">
        <f>IF($AM$39="","",VLOOKUP(1,$AM$39:$AR$43,2,0))</f>
        <v>Sokol Šitbořice 2</v>
      </c>
      <c r="E65" s="393"/>
      <c r="F65" s="393"/>
      <c r="G65" s="393"/>
      <c r="H65" s="393"/>
      <c r="I65" s="393"/>
      <c r="J65" s="393"/>
      <c r="K65" s="393"/>
      <c r="L65" s="393"/>
      <c r="M65" s="394"/>
      <c r="N65" s="256" t="str">
        <f>IF('Pořadí 10 Teams_2x5_Spielplan'!F40="","",'Pořadí 10 Teams_2x5_Spielplan'!F40)</f>
        <v>Přidal</v>
      </c>
      <c r="P65" s="248"/>
      <c r="Q65" s="248"/>
      <c r="R65" s="248"/>
      <c r="S65" s="415"/>
      <c r="T65" s="393"/>
      <c r="U65" s="393"/>
      <c r="V65" s="394"/>
      <c r="W65" s="416"/>
      <c r="X65" s="417"/>
      <c r="Y65" s="417"/>
      <c r="Z65" s="418"/>
      <c r="AA65" s="390">
        <f>IF('Pořadí 10 Teams_2x5_Spielplan'!I40="","",'Pořadí 10 Teams_2x5_Spielplan'!I40)</f>
        <v>1</v>
      </c>
      <c r="AB65" s="391"/>
      <c r="AC65" s="233" t="s">
        <v>6</v>
      </c>
      <c r="AD65" s="254">
        <f>IF('Pořadí 10 Teams_2x5_Spielplan'!K40="","",'Pořadí 10 Teams_2x5_Spielplan'!K40)</f>
        <v>3</v>
      </c>
      <c r="AE65" s="251">
        <f>IF('Pořadí 10 Teams_2x5_Spielplan'!L40="","",'Pořadí 10 Teams_2x5_Spielplan'!L40)</f>
        <v>1</v>
      </c>
      <c r="AF65" s="234" t="s">
        <v>6</v>
      </c>
      <c r="AG65" s="252">
        <f>IF('Pořadí 10 Teams_2x5_Spielplan'!N40="","",'Pořadí 10 Teams_2x5_Spielplan'!N40)</f>
        <v>5</v>
      </c>
      <c r="AH65" s="280"/>
      <c r="AI65" s="34"/>
      <c r="AJ65" s="304" t="s">
        <v>209</v>
      </c>
      <c r="AL65" s="39"/>
      <c r="AM65" s="180">
        <f>BD65</f>
        <v>2</v>
      </c>
      <c r="AN65" s="180" t="str">
        <f>B65</f>
        <v>Liberec - Chrastava</v>
      </c>
      <c r="AO65" s="180" t="str">
        <f>IF($AM$28="","",VLOOKUP(2,$AM$28:$AR$32,3,0))</f>
        <v>Šámal Filip</v>
      </c>
      <c r="AP65" s="180">
        <f>IF($AM$28="","",VLOOKUP(2,$AM$28:$AR$32,4,0))</f>
        <v>10111258980</v>
      </c>
      <c r="AQ65" s="180" t="str">
        <f>IF($AM$28="","",VLOOKUP(2,$AM$28:$AR$32,5,0))</f>
        <v>Turcanu Tomáš</v>
      </c>
      <c r="AR65" s="180">
        <f>IF($AM$28="","",VLOOKUP(2,$AM$28:$AR$32,6,0))</f>
        <v>10159190421</v>
      </c>
      <c r="AS65" s="180"/>
      <c r="AT65" s="255" t="str">
        <f>B65</f>
        <v>Liberec - Chrastava</v>
      </c>
      <c r="AU65" s="235">
        <f>AE65</f>
        <v>1</v>
      </c>
      <c r="AV65" s="236" t="s">
        <v>6</v>
      </c>
      <c r="AW65" s="235">
        <f>AG65</f>
        <v>5</v>
      </c>
      <c r="AX65" s="237" t="str">
        <f>AE66</f>
        <v/>
      </c>
      <c r="AY65" s="236" t="s">
        <v>6</v>
      </c>
      <c r="AZ65" s="237" t="str">
        <f>AG66</f>
        <v/>
      </c>
      <c r="BA65" s="238">
        <f>IF(AU65&gt;AW65,3,0)</f>
        <v>0</v>
      </c>
      <c r="BB65" s="239">
        <f>IF(AX65&gt;AZ65,3,0)</f>
        <v>0</v>
      </c>
      <c r="BC65" s="240">
        <f>BA65+BB65</f>
        <v>0</v>
      </c>
      <c r="BD65" s="241">
        <f>IF(AT65="","",RANK(BC65,$BC$65:$BC$66))</f>
        <v>2</v>
      </c>
      <c r="BF65" s="98"/>
      <c r="BG65" s="222"/>
      <c r="BH65" s="221"/>
      <c r="BI65" s="221"/>
      <c r="BK65" s="219"/>
      <c r="BL65" s="219"/>
    </row>
    <row r="66" spans="1:64" s="2" customFormat="1" ht="19.05" customHeight="1">
      <c r="A66" s="259"/>
      <c r="B66" s="242"/>
      <c r="C66" s="243"/>
      <c r="D66" s="243"/>
      <c r="E66" s="244"/>
      <c r="F66" s="245"/>
      <c r="G66" s="243"/>
      <c r="H66" s="243"/>
      <c r="I66" s="246"/>
      <c r="J66" s="246"/>
      <c r="K66" s="246"/>
      <c r="L66" s="246"/>
      <c r="M66" s="246"/>
      <c r="N66" s="250" t="str">
        <f>INDEX($BG$48:$BI$48,$AJ$4)</f>
        <v>4M údery a konečný výsledek</v>
      </c>
      <c r="O66" s="228"/>
      <c r="P66" s="228"/>
      <c r="Q66" s="228"/>
      <c r="R66" s="229"/>
      <c r="S66" s="229"/>
      <c r="T66" s="229"/>
      <c r="U66" s="247"/>
      <c r="V66" s="230"/>
      <c r="W66" s="226"/>
      <c r="X66" s="231"/>
      <c r="Y66" s="231"/>
      <c r="Z66" s="232"/>
      <c r="AA66" s="390" t="str">
        <f>IF('Pořadí 10 Teams_2x5_Spielplan'!I41="","",'Pořadí 10 Teams_2x5_Spielplan'!I41)</f>
        <v/>
      </c>
      <c r="AB66" s="391"/>
      <c r="AC66" s="233" t="s">
        <v>6</v>
      </c>
      <c r="AD66" s="254" t="str">
        <f>IF('Pořadí 10 Teams_2x5_Spielplan'!K41="","",'Pořadí 10 Teams_2x5_Spielplan'!K41)</f>
        <v/>
      </c>
      <c r="AE66" s="286" t="str">
        <f>IF('Pořadí 10 Teams_2x5_Spielplan'!L41="","",'Pořadí 10 Teams_2x5_Spielplan'!L41)</f>
        <v/>
      </c>
      <c r="AF66" s="258" t="s">
        <v>6</v>
      </c>
      <c r="AG66" s="287" t="str">
        <f>IF('Pořadí 10 Teams_2x5_Spielplan'!N41="","",'Pořadí 10 Teams_2x5_Spielplan'!N41)</f>
        <v/>
      </c>
      <c r="AH66" s="280"/>
      <c r="AI66" s="34"/>
      <c r="AJ66" s="267" t="s">
        <v>229</v>
      </c>
      <c r="AL66" s="39"/>
      <c r="AM66" s="180">
        <f>BD66</f>
        <v>1</v>
      </c>
      <c r="AN66" s="180" t="str">
        <f>D65</f>
        <v>Sokol Šitbořice 2</v>
      </c>
      <c r="AO66" s="180" t="str">
        <f>IF($AM$39="","",VLOOKUP(1,$AM$39:$AR$43,3,0))</f>
        <v>Doležal Mikuláš</v>
      </c>
      <c r="AP66" s="180">
        <f>IF($AM$39="","",VLOOKUP(1,$AM$39:$AR$43,4,0))</f>
        <v>10147164340</v>
      </c>
      <c r="AQ66" s="180" t="str">
        <f>IF($AM$39="","",VLOOKUP(1,$AM$39:$AR$43,5,0))</f>
        <v>Doležal Vítek</v>
      </c>
      <c r="AR66" s="180">
        <f>IF($AM$39="","",VLOOKUP(1,$AM$39:$AR$43,6,0))</f>
        <v>10134812200</v>
      </c>
      <c r="AS66" s="180"/>
      <c r="AT66" s="255" t="str">
        <f>D65</f>
        <v>Sokol Šitbořice 2</v>
      </c>
      <c r="AU66" s="235">
        <f>AG65</f>
        <v>5</v>
      </c>
      <c r="AV66" s="236" t="s">
        <v>6</v>
      </c>
      <c r="AW66" s="235">
        <f>AE65</f>
        <v>1</v>
      </c>
      <c r="AX66" s="237" t="str">
        <f>AZ65</f>
        <v/>
      </c>
      <c r="AY66" s="236" t="s">
        <v>6</v>
      </c>
      <c r="AZ66" s="237" t="str">
        <f>AX65</f>
        <v/>
      </c>
      <c r="BA66" s="238">
        <f>IF(AU66&gt;AW66,3,0)</f>
        <v>3</v>
      </c>
      <c r="BB66" s="239">
        <f>IF(AX66&gt;AZ66,3,0)</f>
        <v>0</v>
      </c>
      <c r="BC66" s="240">
        <f>BA66+BB66</f>
        <v>3</v>
      </c>
      <c r="BD66" s="241">
        <f>IF(AT66="","",RANK(BC66,$BC$65:$BC$66))</f>
        <v>1</v>
      </c>
      <c r="BF66" s="98"/>
      <c r="BG66" s="220"/>
      <c r="BH66" s="221"/>
      <c r="BI66" s="221"/>
      <c r="BJ66"/>
      <c r="BK66" s="219"/>
      <c r="BL66" s="219"/>
    </row>
    <row r="67" spans="1:64" ht="7.05" customHeight="1">
      <c r="A67" s="32"/>
      <c r="L67" s="33"/>
      <c r="AA67" s="288"/>
      <c r="AB67" s="288"/>
      <c r="AC67" s="288"/>
      <c r="AD67" s="288"/>
      <c r="AE67" s="288"/>
      <c r="AF67" s="288"/>
      <c r="AG67" s="288"/>
      <c r="AH67" s="2"/>
      <c r="AL67" s="39"/>
      <c r="BF67" s="98"/>
      <c r="BJ67" s="220"/>
    </row>
    <row r="68" spans="1:64">
      <c r="A68" s="441" t="s">
        <v>60</v>
      </c>
      <c r="B68" s="118" t="str">
        <f>INDEX(BG68:BI68,$AJ$4)</f>
        <v>Utkání o 5. a 6. místo  3.A - 3.B</v>
      </c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249" t="str">
        <f>INDEX($BG$20:$BI$20,$AJ$4)</f>
        <v>Rozhodčí:</v>
      </c>
      <c r="O68" s="119"/>
      <c r="P68" s="119"/>
      <c r="Q68" s="119"/>
      <c r="R68" s="119"/>
      <c r="S68" s="430" t="str">
        <f>INDEX($BG$45:$BI$45,$AJ$4)</f>
        <v>Branky</v>
      </c>
      <c r="T68" s="433"/>
      <c r="U68" s="433"/>
      <c r="V68" s="433"/>
      <c r="W68" s="433"/>
      <c r="X68" s="433"/>
      <c r="Y68" s="433"/>
      <c r="Z68" s="432"/>
      <c r="AA68" s="395" t="str">
        <f>INDEX($BG$46:$BI$46,$AJ$4)</f>
        <v>Poločas</v>
      </c>
      <c r="AB68" s="396"/>
      <c r="AC68" s="396"/>
      <c r="AD68" s="397"/>
      <c r="AE68" s="426" t="str">
        <f>INDEX($BG$47:$BI$47,$AJ$4)</f>
        <v>Výsledek</v>
      </c>
      <c r="AF68" s="427"/>
      <c r="AG68" s="428"/>
      <c r="AH68" s="2"/>
      <c r="AL68" s="39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 t="s">
        <v>4</v>
      </c>
      <c r="BB68"/>
      <c r="BC68"/>
      <c r="BD68" t="s">
        <v>206</v>
      </c>
      <c r="BE68"/>
      <c r="BF68" s="98"/>
      <c r="BG68" s="221" t="s">
        <v>178</v>
      </c>
      <c r="BH68" s="221" t="s">
        <v>179</v>
      </c>
      <c r="BI68" s="221" t="s">
        <v>180</v>
      </c>
      <c r="BJ68" s="221"/>
    </row>
    <row r="69" spans="1:64" s="2" customFormat="1" ht="19.05" customHeight="1">
      <c r="A69" s="442"/>
      <c r="B69" s="225" t="str">
        <f>IF($AM$28="","",VLOOKUP(3,$AM$28:$AR$32,2,0))</f>
        <v>Start Plzeň</v>
      </c>
      <c r="C69" s="227" t="s">
        <v>6</v>
      </c>
      <c r="D69" s="392" t="str">
        <f>IF($AM$39="","",VLOOKUP(3,$AM$39:$AR$43,2,0))</f>
        <v>MILO Olomouc 1</v>
      </c>
      <c r="E69" s="393"/>
      <c r="F69" s="393"/>
      <c r="G69" s="393"/>
      <c r="H69" s="393"/>
      <c r="I69" s="393"/>
      <c r="J69" s="393"/>
      <c r="K69" s="393"/>
      <c r="L69" s="393"/>
      <c r="M69" s="394"/>
      <c r="N69" s="256" t="str">
        <f>IF('Pořadí 10 Teams_2x5_Spielplan'!F43="","",'Pořadí 10 Teams_2x5_Spielplan'!F43)</f>
        <v>Brodský</v>
      </c>
      <c r="P69" s="248"/>
      <c r="Q69" s="248"/>
      <c r="R69" s="248"/>
      <c r="S69" s="415"/>
      <c r="T69" s="393"/>
      <c r="U69" s="393"/>
      <c r="V69" s="394"/>
      <c r="W69" s="416"/>
      <c r="X69" s="417"/>
      <c r="Y69" s="417"/>
      <c r="Z69" s="418"/>
      <c r="AA69" s="390">
        <f>IF('Pořadí 10 Teams_2x5_Spielplan'!I43="","",'Pořadí 10 Teams_2x5_Spielplan'!I43)</f>
        <v>0</v>
      </c>
      <c r="AB69" s="391"/>
      <c r="AC69" s="233" t="s">
        <v>6</v>
      </c>
      <c r="AD69" s="254">
        <f>IF('Pořadí 10 Teams_2x5_Spielplan'!K43="","",'Pořadí 10 Teams_2x5_Spielplan'!K43)</f>
        <v>1</v>
      </c>
      <c r="AE69" s="251">
        <f>IF('Pořadí 10 Teams_2x5_Spielplan'!L43="","",'Pořadí 10 Teams_2x5_Spielplan'!L43)</f>
        <v>1</v>
      </c>
      <c r="AF69" s="234" t="s">
        <v>6</v>
      </c>
      <c r="AG69" s="252">
        <f>IF('Pořadí 10 Teams_2x5_Spielplan'!N43="","",'Pořadí 10 Teams_2x5_Spielplan'!N43)</f>
        <v>4</v>
      </c>
      <c r="AH69" s="280"/>
      <c r="AI69" s="34"/>
      <c r="AJ69" s="304" t="s">
        <v>209</v>
      </c>
      <c r="AL69" s="39"/>
      <c r="AM69" s="180">
        <f>BD69</f>
        <v>2</v>
      </c>
      <c r="AN69" s="180" t="str">
        <f>B69</f>
        <v>Start Plzeň</v>
      </c>
      <c r="AO69" s="180" t="str">
        <f>IF($AM$28="","",VLOOKUP(3,$AM$28:$AR$32,3,0))</f>
        <v>Bartošek Lukáš</v>
      </c>
      <c r="AP69" s="180">
        <f>IF($AM$28="","",VLOOKUP(3,$AM$28:$AR$32,4,0))</f>
        <v>10105623482</v>
      </c>
      <c r="AQ69" s="180" t="str">
        <f>IF($AM$28="","",VLOOKUP(3,$AM$28:$AR$32,5,0))</f>
        <v>Culek Mikuláš</v>
      </c>
      <c r="AR69" s="180">
        <f>IF($AM$28="","",VLOOKUP(3,$AM$28:$AR$32,6,0))</f>
        <v>10123992959</v>
      </c>
      <c r="AS69" s="180"/>
      <c r="AT69" s="255" t="str">
        <f>B69</f>
        <v>Start Plzeň</v>
      </c>
      <c r="AU69" s="235">
        <f>AE69</f>
        <v>1</v>
      </c>
      <c r="AV69" s="236" t="s">
        <v>6</v>
      </c>
      <c r="AW69" s="235">
        <f>AG69</f>
        <v>4</v>
      </c>
      <c r="AX69" s="237" t="str">
        <f>AE70</f>
        <v/>
      </c>
      <c r="AY69" s="236" t="s">
        <v>6</v>
      </c>
      <c r="AZ69" s="237" t="str">
        <f>AG70</f>
        <v/>
      </c>
      <c r="BA69" s="238">
        <f>IF(AU69&gt;AW69,3,0)</f>
        <v>0</v>
      </c>
      <c r="BB69" s="239">
        <f>IF(AX69&gt;AZ69,3,0)</f>
        <v>0</v>
      </c>
      <c r="BC69" s="240">
        <f>BA69+BB69</f>
        <v>0</v>
      </c>
      <c r="BD69" s="241">
        <f>IF(AT69="","",RANK(BC69,$BC$69:$BC$70))</f>
        <v>2</v>
      </c>
      <c r="BF69" s="98"/>
      <c r="BG69" s="220"/>
      <c r="BH69" s="221"/>
      <c r="BI69" s="221"/>
      <c r="BK69" s="219"/>
      <c r="BL69" s="219"/>
    </row>
    <row r="70" spans="1:64" s="2" customFormat="1" ht="18.45" customHeight="1">
      <c r="A70" s="259"/>
      <c r="B70" s="242"/>
      <c r="C70" s="243"/>
      <c r="D70" s="243"/>
      <c r="E70" s="244"/>
      <c r="F70" s="245"/>
      <c r="G70" s="243"/>
      <c r="H70" s="243"/>
      <c r="I70" s="246"/>
      <c r="J70" s="246"/>
      <c r="K70" s="246"/>
      <c r="L70" s="246"/>
      <c r="M70" s="246"/>
      <c r="N70" s="250" t="str">
        <f>INDEX($BG$48:$BI$48,$AJ$4)</f>
        <v>4M údery a konečný výsledek</v>
      </c>
      <c r="O70" s="228"/>
      <c r="P70" s="228"/>
      <c r="Q70" s="228"/>
      <c r="R70" s="229"/>
      <c r="S70" s="229"/>
      <c r="T70" s="229"/>
      <c r="U70" s="247"/>
      <c r="V70" s="230"/>
      <c r="W70" s="226"/>
      <c r="X70" s="231"/>
      <c r="Y70" s="231"/>
      <c r="Z70" s="232"/>
      <c r="AA70" s="390" t="str">
        <f>IF('Pořadí 10 Teams_2x5_Spielplan'!I44="","",'Pořadí 10 Teams_2x5_Spielplan'!I44)</f>
        <v/>
      </c>
      <c r="AB70" s="391"/>
      <c r="AC70" s="233" t="s">
        <v>6</v>
      </c>
      <c r="AD70" s="254" t="str">
        <f>IF('Pořadí 10 Teams_2x5_Spielplan'!K44="","",'Pořadí 10 Teams_2x5_Spielplan'!K44)</f>
        <v/>
      </c>
      <c r="AE70" s="286" t="str">
        <f>IF('Pořadí 10 Teams_2x5_Spielplan'!L44="","",'Pořadí 10 Teams_2x5_Spielplan'!L44)</f>
        <v/>
      </c>
      <c r="AF70" s="258" t="s">
        <v>6</v>
      </c>
      <c r="AG70" s="287" t="str">
        <f>IF('Pořadí 10 Teams_2x5_Spielplan'!N44="","",'Pořadí 10 Teams_2x5_Spielplan'!N44)</f>
        <v/>
      </c>
      <c r="AH70" s="280"/>
      <c r="AI70" s="34"/>
      <c r="AJ70" s="267" t="s">
        <v>229</v>
      </c>
      <c r="AL70" s="39"/>
      <c r="AM70" s="180">
        <f>BD70</f>
        <v>1</v>
      </c>
      <c r="AN70" s="180" t="str">
        <f>D69</f>
        <v>MILO Olomouc 1</v>
      </c>
      <c r="AO70" s="180" t="str">
        <f>IF($AM$39="","",VLOOKUP(3,$AM$39:$AR$43,3,0))</f>
        <v>Klesnil Lukáš</v>
      </c>
      <c r="AP70" s="180">
        <f>IF($AM$39="","",VLOOKUP(3,$AM$39:$AR$43,4,0))</f>
        <v>10148286712</v>
      </c>
      <c r="AQ70" s="180" t="str">
        <f>IF($AM$39="","",VLOOKUP(3,$AM$39:$AR$43,5,0))</f>
        <v>Sedláček Jan</v>
      </c>
      <c r="AR70" s="180">
        <f>IF($AM$39="","",VLOOKUP(3,$AM$39:$AR$43,6,0))</f>
        <v>10158891640</v>
      </c>
      <c r="AS70" s="180"/>
      <c r="AT70" s="255" t="str">
        <f>D69</f>
        <v>MILO Olomouc 1</v>
      </c>
      <c r="AU70" s="235">
        <f>AG69</f>
        <v>4</v>
      </c>
      <c r="AV70" s="236" t="s">
        <v>6</v>
      </c>
      <c r="AW70" s="235">
        <f>AE69</f>
        <v>1</v>
      </c>
      <c r="AX70" s="237" t="str">
        <f>AZ69</f>
        <v/>
      </c>
      <c r="AY70" s="236" t="s">
        <v>6</v>
      </c>
      <c r="AZ70" s="237" t="str">
        <f>AX69</f>
        <v/>
      </c>
      <c r="BA70" s="238">
        <f>IF(AU70&gt;AW70,3,0)</f>
        <v>3</v>
      </c>
      <c r="BB70" s="239">
        <f>IF(AX70&gt;AZ70,3,0)</f>
        <v>0</v>
      </c>
      <c r="BC70" s="240">
        <f>BA70+BB70</f>
        <v>3</v>
      </c>
      <c r="BD70" s="241">
        <f>IF(AT70="","",RANK(BC70,$BC$69:$BC$70))</f>
        <v>1</v>
      </c>
      <c r="BF70" s="98"/>
      <c r="BH70" s="221"/>
      <c r="BI70" s="221"/>
      <c r="BJ70"/>
      <c r="BK70" s="219"/>
      <c r="BL70" s="219"/>
    </row>
    <row r="71" spans="1:64" ht="7.05" customHeight="1">
      <c r="A71" s="32"/>
      <c r="L71" s="33"/>
      <c r="AA71" s="288"/>
      <c r="AB71" s="288"/>
      <c r="AC71" s="288"/>
      <c r="AD71" s="288"/>
      <c r="AE71" s="288"/>
      <c r="AF71" s="288"/>
      <c r="AG71" s="288"/>
      <c r="AH71" s="2"/>
      <c r="AL71" s="39"/>
      <c r="BF71" s="98"/>
      <c r="BJ71" s="220"/>
    </row>
    <row r="72" spans="1:64">
      <c r="A72" s="441" t="s">
        <v>189</v>
      </c>
      <c r="B72" s="257" t="str">
        <f>INDEX(BG72:BI72,$AJ$4)</f>
        <v>Utkání o 3. a 4. místo</v>
      </c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  <c r="N72" s="249" t="str">
        <f>INDEX($BG$20:$BI$20,$AJ$4)</f>
        <v>Rozhodčí:</v>
      </c>
      <c r="O72" s="119"/>
      <c r="P72" s="119"/>
      <c r="Q72" s="119"/>
      <c r="R72" s="119"/>
      <c r="S72" s="430" t="str">
        <f>INDEX($BG$45:$BI$45,$AJ$4)</f>
        <v>Branky</v>
      </c>
      <c r="T72" s="433"/>
      <c r="U72" s="433"/>
      <c r="V72" s="433"/>
      <c r="W72" s="433"/>
      <c r="X72" s="433"/>
      <c r="Y72" s="433"/>
      <c r="Z72" s="432"/>
      <c r="AA72" s="395" t="str">
        <f>INDEX($BG$46:$BI$46,$AJ$4)</f>
        <v>Poločas</v>
      </c>
      <c r="AB72" s="396"/>
      <c r="AC72" s="396"/>
      <c r="AD72" s="397"/>
      <c r="AE72" s="426" t="str">
        <f>INDEX($BG$47:$BI$47,$AJ$4)</f>
        <v>Výsledek</v>
      </c>
      <c r="AF72" s="427"/>
      <c r="AG72" s="428"/>
      <c r="AH72" s="2"/>
      <c r="AL72" s="39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 t="s">
        <v>4</v>
      </c>
      <c r="BB72"/>
      <c r="BC72"/>
      <c r="BD72" t="s">
        <v>206</v>
      </c>
      <c r="BE72"/>
      <c r="BF72" s="98"/>
      <c r="BG72" s="221" t="s">
        <v>154</v>
      </c>
      <c r="BH72" s="221" t="s">
        <v>162</v>
      </c>
      <c r="BI72" s="221" t="s">
        <v>163</v>
      </c>
      <c r="BJ72" s="221"/>
    </row>
    <row r="73" spans="1:64" s="2" customFormat="1" ht="19.05" customHeight="1">
      <c r="A73" s="442"/>
      <c r="B73" s="225" t="str">
        <f>IF($AM$57="","",VLOOKUP(2,$AM$57:$AR$58,2,0))</f>
        <v>Sokol Šitbořice 1</v>
      </c>
      <c r="C73" s="227" t="s">
        <v>6</v>
      </c>
      <c r="D73" s="392" t="str">
        <f>IF($AM$65="","",VLOOKUP(2,$AM$65:$AR$66,2,0))</f>
        <v>Liberec - Chrastava</v>
      </c>
      <c r="E73" s="393"/>
      <c r="F73" s="393"/>
      <c r="G73" s="393"/>
      <c r="H73" s="393"/>
      <c r="I73" s="393"/>
      <c r="J73" s="393"/>
      <c r="K73" s="393"/>
      <c r="L73" s="393"/>
      <c r="M73" s="394"/>
      <c r="N73" s="256" t="str">
        <f>IF('Pořadí 10 Teams_2x5_Spielplan'!F46="","",'Pořadí 10 Teams_2x5_Spielplan'!F46)</f>
        <v>Struhař</v>
      </c>
      <c r="P73" s="248"/>
      <c r="Q73" s="248"/>
      <c r="R73" s="248"/>
      <c r="S73" s="415"/>
      <c r="T73" s="393"/>
      <c r="U73" s="393"/>
      <c r="V73" s="394"/>
      <c r="W73" s="416"/>
      <c r="X73" s="417"/>
      <c r="Y73" s="417"/>
      <c r="Z73" s="418"/>
      <c r="AA73" s="390">
        <f>IF('Pořadí 10 Teams_2x5_Spielplan'!I46="","",'Pořadí 10 Teams_2x5_Spielplan'!I46)</f>
        <v>1</v>
      </c>
      <c r="AB73" s="391"/>
      <c r="AC73" s="233" t="s">
        <v>6</v>
      </c>
      <c r="AD73" s="254">
        <f>IF('Pořadí 10 Teams_2x5_Spielplan'!K46="","",'Pořadí 10 Teams_2x5_Spielplan'!K46)</f>
        <v>2</v>
      </c>
      <c r="AE73" s="251">
        <f>IF('Pořadí 10 Teams_2x5_Spielplan'!L46="","",'Pořadí 10 Teams_2x5_Spielplan'!L46)</f>
        <v>5</v>
      </c>
      <c r="AF73" s="234" t="s">
        <v>6</v>
      </c>
      <c r="AG73" s="252">
        <f>IF('Pořadí 10 Teams_2x5_Spielplan'!N46="","",'Pořadí 10 Teams_2x5_Spielplan'!N46)</f>
        <v>4</v>
      </c>
      <c r="AH73" s="280"/>
      <c r="AI73" s="34"/>
      <c r="AJ73" s="304" t="s">
        <v>209</v>
      </c>
      <c r="AL73" s="39"/>
      <c r="AM73" s="180">
        <f>BD73</f>
        <v>1</v>
      </c>
      <c r="AN73" s="180" t="str">
        <f>B73</f>
        <v>Sokol Šitbořice 1</v>
      </c>
      <c r="AO73" s="180" t="str">
        <f>IF($AM$57="","",VLOOKUP(2,$AM$57:$AR$58,3,0))</f>
        <v>Kyzlink Filip</v>
      </c>
      <c r="AP73" s="180">
        <f>IF($AM$57="","",VLOOKUP(2,$AM$57:$AR$58,4,0))</f>
        <v>10157654383</v>
      </c>
      <c r="AQ73" s="180" t="str">
        <f>IF($AM$57="","",VLOOKUP(2,$AM$57:$AR$58,5,0))</f>
        <v>Šabata Matěj</v>
      </c>
      <c r="AR73" s="180">
        <f>IF($AM$57="","",VLOOKUP(2,$AM$57:$AR$58,6,0))</f>
        <v>10099764177</v>
      </c>
      <c r="AS73" s="180"/>
      <c r="AT73" s="255" t="str">
        <f>B73</f>
        <v>Sokol Šitbořice 1</v>
      </c>
      <c r="AU73" s="235">
        <f>AE73</f>
        <v>5</v>
      </c>
      <c r="AV73" s="236" t="s">
        <v>6</v>
      </c>
      <c r="AW73" s="235">
        <f>AG73</f>
        <v>4</v>
      </c>
      <c r="AX73" s="237" t="str">
        <f>AE74</f>
        <v/>
      </c>
      <c r="AY73" s="236" t="s">
        <v>6</v>
      </c>
      <c r="AZ73" s="237" t="str">
        <f>AG74</f>
        <v/>
      </c>
      <c r="BA73" s="238">
        <f>IF(AU73&gt;AW73,3,0)</f>
        <v>3</v>
      </c>
      <c r="BB73" s="239">
        <f>IF(AX73&gt;AZ73,3,0)</f>
        <v>0</v>
      </c>
      <c r="BC73" s="240">
        <f>BA73+BB73</f>
        <v>3</v>
      </c>
      <c r="BD73" s="241">
        <f>IF(AT73="","",RANK(BC73,$BC$73:$BC$74))</f>
        <v>1</v>
      </c>
      <c r="BF73" s="98"/>
      <c r="BG73" s="220"/>
      <c r="BH73" s="221"/>
      <c r="BI73" s="221"/>
      <c r="BK73" s="219"/>
      <c r="BL73" s="219"/>
    </row>
    <row r="74" spans="1:64" s="2" customFormat="1" ht="19.05" customHeight="1">
      <c r="A74" s="259"/>
      <c r="B74" s="242"/>
      <c r="C74" s="243"/>
      <c r="D74" s="243"/>
      <c r="E74" s="244"/>
      <c r="F74" s="245"/>
      <c r="G74" s="243"/>
      <c r="H74" s="243"/>
      <c r="I74" s="246"/>
      <c r="J74" s="246"/>
      <c r="K74" s="246"/>
      <c r="L74" s="246"/>
      <c r="M74" s="246"/>
      <c r="N74" s="250" t="str">
        <f>INDEX($BG$48:$BI$48,$AJ$4)</f>
        <v>4M údery a konečný výsledek</v>
      </c>
      <c r="O74" s="228"/>
      <c r="P74" s="228"/>
      <c r="Q74" s="228"/>
      <c r="R74" s="229"/>
      <c r="S74" s="229"/>
      <c r="T74" s="229"/>
      <c r="U74" s="247"/>
      <c r="V74" s="230"/>
      <c r="W74" s="226"/>
      <c r="X74" s="231"/>
      <c r="Y74" s="231"/>
      <c r="Z74" s="232"/>
      <c r="AA74" s="390" t="str">
        <f>IF('Pořadí 10 Teams_2x5_Spielplan'!I47="","",'Pořadí 10 Teams_2x5_Spielplan'!I47)</f>
        <v/>
      </c>
      <c r="AB74" s="391"/>
      <c r="AC74" s="233" t="s">
        <v>6</v>
      </c>
      <c r="AD74" s="254" t="str">
        <f>IF('Pořadí 10 Teams_2x5_Spielplan'!K47="","",'Pořadí 10 Teams_2x5_Spielplan'!K47)</f>
        <v/>
      </c>
      <c r="AE74" s="286" t="str">
        <f>IF('Pořadí 10 Teams_2x5_Spielplan'!L47="","",'Pořadí 10 Teams_2x5_Spielplan'!L47)</f>
        <v/>
      </c>
      <c r="AF74" s="258" t="s">
        <v>6</v>
      </c>
      <c r="AG74" s="287" t="str">
        <f>IF('Pořadí 10 Teams_2x5_Spielplan'!N47="","",'Pořadí 10 Teams_2x5_Spielplan'!N47)</f>
        <v/>
      </c>
      <c r="AH74" s="280"/>
      <c r="AI74" s="34"/>
      <c r="AJ74" s="267" t="s">
        <v>229</v>
      </c>
      <c r="AL74" s="39"/>
      <c r="AM74" s="180">
        <f>BD74</f>
        <v>2</v>
      </c>
      <c r="AN74" s="180" t="str">
        <f>D73</f>
        <v>Liberec - Chrastava</v>
      </c>
      <c r="AO74" s="180" t="str">
        <f>IF($AM$65="","",VLOOKUP(2,$AM$65:$AR$66,3,0))</f>
        <v>Šámal Filip</v>
      </c>
      <c r="AP74" s="180">
        <f>IF($AM$65="","",VLOOKUP(2,$AM$65:$AR$66,4,0))</f>
        <v>10111258980</v>
      </c>
      <c r="AQ74" s="180" t="str">
        <f>IF($AM$65="","",VLOOKUP(2,$AM$65:$AR$66,5,0))</f>
        <v>Turcanu Tomáš</v>
      </c>
      <c r="AR74" s="180">
        <f>IF($AM$65="","",VLOOKUP(2,$AM$65:$AR$66,6,0))</f>
        <v>10159190421</v>
      </c>
      <c r="AS74" s="180"/>
      <c r="AT74" s="255" t="str">
        <f>D73</f>
        <v>Liberec - Chrastava</v>
      </c>
      <c r="AU74" s="235">
        <f>AG73</f>
        <v>4</v>
      </c>
      <c r="AV74" s="236" t="s">
        <v>6</v>
      </c>
      <c r="AW74" s="235">
        <f>AE73</f>
        <v>5</v>
      </c>
      <c r="AX74" s="237" t="str">
        <f>AZ73</f>
        <v/>
      </c>
      <c r="AY74" s="236" t="s">
        <v>6</v>
      </c>
      <c r="AZ74" s="237" t="str">
        <f>AX73</f>
        <v/>
      </c>
      <c r="BA74" s="238">
        <f>IF(AU74&gt;AW74,3,0)</f>
        <v>0</v>
      </c>
      <c r="BB74" s="239">
        <f>IF(AX74&gt;AZ74,3,0)</f>
        <v>0</v>
      </c>
      <c r="BC74" s="240">
        <f>BA74+BB74</f>
        <v>0</v>
      </c>
      <c r="BD74" s="241">
        <f>IF(AT74="","",RANK(BC74,$BC$73:$BC$74))</f>
        <v>2</v>
      </c>
      <c r="BF74" s="98"/>
      <c r="BG74" s="253"/>
      <c r="BH74" s="221"/>
      <c r="BI74" s="221"/>
      <c r="BJ74"/>
      <c r="BK74" s="219"/>
      <c r="BL74" s="219"/>
    </row>
    <row r="75" spans="1:64" ht="7.05" customHeight="1">
      <c r="A75" s="32"/>
      <c r="L75" s="33"/>
      <c r="AA75" s="288"/>
      <c r="AB75" s="288"/>
      <c r="AC75" s="288"/>
      <c r="AD75" s="288"/>
      <c r="AE75" s="288"/>
      <c r="AF75" s="288"/>
      <c r="AG75" s="288"/>
      <c r="AH75" s="2"/>
      <c r="AL75" s="39"/>
      <c r="BF75" s="98"/>
      <c r="BJ75" s="220"/>
    </row>
    <row r="76" spans="1:64">
      <c r="A76" s="441" t="s">
        <v>190</v>
      </c>
      <c r="B76" s="257" t="str">
        <f>INDEX(BG76:BI76,$AJ$4)</f>
        <v>Utkání o 1. a 2. místo</v>
      </c>
      <c r="C76" s="119"/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249" t="str">
        <f>INDEX($BG$20:$BI$20,$AJ$4)</f>
        <v>Rozhodčí:</v>
      </c>
      <c r="O76" s="119"/>
      <c r="P76" s="119"/>
      <c r="Q76" s="119"/>
      <c r="R76" s="119"/>
      <c r="S76" s="430" t="str">
        <f>INDEX($BG$45:$BI$45,$AJ$4)</f>
        <v>Branky</v>
      </c>
      <c r="T76" s="431"/>
      <c r="U76" s="431"/>
      <c r="V76" s="431"/>
      <c r="W76" s="431"/>
      <c r="X76" s="431"/>
      <c r="Y76" s="431"/>
      <c r="Z76" s="444"/>
      <c r="AA76" s="395" t="str">
        <f>INDEX($BG$46:$BI$46,$AJ$4)</f>
        <v>Poločas</v>
      </c>
      <c r="AB76" s="396"/>
      <c r="AC76" s="396"/>
      <c r="AD76" s="404"/>
      <c r="AE76" s="426" t="str">
        <f>INDEX($BG$47:$BI$47,$AJ$4)</f>
        <v>Výsledek</v>
      </c>
      <c r="AF76" s="427"/>
      <c r="AG76" s="428"/>
      <c r="AH76" s="2"/>
      <c r="AL76" s="39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 t="s">
        <v>4</v>
      </c>
      <c r="BB76"/>
      <c r="BC76"/>
      <c r="BD76" t="s">
        <v>206</v>
      </c>
      <c r="BE76"/>
      <c r="BF76" s="98"/>
      <c r="BG76" s="221" t="s">
        <v>225</v>
      </c>
      <c r="BH76" s="221" t="s">
        <v>226</v>
      </c>
      <c r="BI76" s="221" t="s">
        <v>227</v>
      </c>
      <c r="BJ76" s="221"/>
    </row>
    <row r="77" spans="1:64" s="2" customFormat="1" ht="19.05" customHeight="1">
      <c r="A77" s="442"/>
      <c r="B77" s="225" t="str">
        <f>IF($AM$57="","",VLOOKUP(1,$AM$57:$AR$58,2,0))</f>
        <v>Sokol Zlín-Prštné 1</v>
      </c>
      <c r="C77" s="227" t="s">
        <v>6</v>
      </c>
      <c r="D77" s="392" t="str">
        <f>IF($AM$65="","",VLOOKUP(1,$AM$65:$AR$66,2,0))</f>
        <v>Sokol Šitbořice 2</v>
      </c>
      <c r="E77" s="393"/>
      <c r="F77" s="393"/>
      <c r="G77" s="393"/>
      <c r="H77" s="393"/>
      <c r="I77" s="393"/>
      <c r="J77" s="393"/>
      <c r="K77" s="393"/>
      <c r="L77" s="393"/>
      <c r="M77" s="394"/>
      <c r="N77" s="256" t="str">
        <f>IF('Pořadí 10 Teams_2x5_Spielplan'!F49="","",'Pořadí 10 Teams_2x5_Spielplan'!F49)</f>
        <v>Přidal</v>
      </c>
      <c r="P77" s="248"/>
      <c r="Q77" s="248"/>
      <c r="R77" s="248"/>
      <c r="S77" s="415"/>
      <c r="T77" s="393"/>
      <c r="U77" s="393"/>
      <c r="V77" s="394"/>
      <c r="W77" s="416"/>
      <c r="X77" s="417"/>
      <c r="Y77" s="417"/>
      <c r="Z77" s="418"/>
      <c r="AA77" s="390">
        <f>IF('Pořadí 10 Teams_2x5_Spielplan'!I49="","",'Pořadí 10 Teams_2x5_Spielplan'!I49)</f>
        <v>1</v>
      </c>
      <c r="AB77" s="391"/>
      <c r="AC77" s="233" t="s">
        <v>6</v>
      </c>
      <c r="AD77" s="254">
        <f>IF('Pořadí 10 Teams_2x5_Spielplan'!K49="","",'Pořadí 10 Teams_2x5_Spielplan'!K49)</f>
        <v>1</v>
      </c>
      <c r="AE77" s="251">
        <f>IF('Pořadí 10 Teams_2x5_Spielplan'!L49="","",'Pořadí 10 Teams_2x5_Spielplan'!L49)</f>
        <v>2</v>
      </c>
      <c r="AF77" s="234" t="s">
        <v>6</v>
      </c>
      <c r="AG77" s="252">
        <f>IF('Pořadí 10 Teams_2x5_Spielplan'!N49="","",'Pořadí 10 Teams_2x5_Spielplan'!N49)</f>
        <v>2</v>
      </c>
      <c r="AH77" s="280"/>
      <c r="AI77" s="34"/>
      <c r="AJ77" s="304" t="s">
        <v>209</v>
      </c>
      <c r="AL77" s="39"/>
      <c r="AM77" s="180">
        <f>BD77</f>
        <v>1</v>
      </c>
      <c r="AN77" s="180" t="str">
        <f>B77</f>
        <v>Sokol Zlín-Prštné 1</v>
      </c>
      <c r="AO77" s="180" t="str">
        <f>IF($AM$57="","",VLOOKUP(1,$AM$57:$AR$58,3,0))</f>
        <v>Samsonek Vít</v>
      </c>
      <c r="AP77" s="180">
        <f>IF($AM$57="","",VLOOKUP(1,$AM$57:$AR$58,4,0))</f>
        <v>10148441609</v>
      </c>
      <c r="AQ77" s="180" t="str">
        <f>IF($AM$57="","",VLOOKUP(1,$AM$57:$AR$58,5,0))</f>
        <v>Hobza Robert</v>
      </c>
      <c r="AR77" s="180">
        <f>IF($AM$57="","",VLOOKUP(1,$AM$57:$AR$58,6,0))</f>
        <v>10091960428</v>
      </c>
      <c r="AS77" s="180"/>
      <c r="AT77" s="255" t="str">
        <f>B77</f>
        <v>Sokol Zlín-Prštné 1</v>
      </c>
      <c r="AU77" s="235">
        <f>AE77</f>
        <v>2</v>
      </c>
      <c r="AV77" s="236" t="s">
        <v>6</v>
      </c>
      <c r="AW77" s="235">
        <f>AG77</f>
        <v>2</v>
      </c>
      <c r="AX77" s="237">
        <f>AE78</f>
        <v>3</v>
      </c>
      <c r="AY77" s="236" t="s">
        <v>6</v>
      </c>
      <c r="AZ77" s="237">
        <f>AG78</f>
        <v>2</v>
      </c>
      <c r="BA77" s="238">
        <f>IF(AU77&gt;AW77,3,0)</f>
        <v>0</v>
      </c>
      <c r="BB77" s="239">
        <f>IF(AX77&gt;AZ77,3,0)</f>
        <v>3</v>
      </c>
      <c r="BC77" s="240">
        <f>BA77+BB77</f>
        <v>3</v>
      </c>
      <c r="BD77" s="241">
        <f>IF(AT77="","",RANK(BC77,$BC$77:$BC$78))</f>
        <v>1</v>
      </c>
      <c r="BF77" s="98"/>
      <c r="BG77" s="220"/>
      <c r="BH77" s="221"/>
      <c r="BI77" s="221"/>
      <c r="BK77" s="219"/>
      <c r="BL77" s="219"/>
    </row>
    <row r="78" spans="1:64" s="2" customFormat="1" ht="19.05" customHeight="1">
      <c r="A78" s="259"/>
      <c r="B78" s="242"/>
      <c r="C78" s="243"/>
      <c r="D78" s="243"/>
      <c r="E78" s="244"/>
      <c r="F78" s="245"/>
      <c r="G78" s="243"/>
      <c r="H78" s="243"/>
      <c r="I78" s="246"/>
      <c r="J78" s="246"/>
      <c r="K78" s="246"/>
      <c r="L78" s="246"/>
      <c r="M78" s="246"/>
      <c r="N78" s="250" t="str">
        <f>INDEX($BG$48:$BI$48,$AJ$4)</f>
        <v>4M údery a konečný výsledek</v>
      </c>
      <c r="O78" s="228"/>
      <c r="P78" s="228"/>
      <c r="Q78" s="228"/>
      <c r="R78" s="229"/>
      <c r="S78" s="229"/>
      <c r="T78" s="229"/>
      <c r="U78" s="247"/>
      <c r="V78" s="230"/>
      <c r="W78" s="226"/>
      <c r="X78" s="231"/>
      <c r="Y78" s="231"/>
      <c r="Z78" s="232"/>
      <c r="AA78" s="390">
        <f>IF('Pořadí 10 Teams_2x5_Spielplan'!I50="","",'Pořadí 10 Teams_2x5_Spielplan'!I50)</f>
        <v>1</v>
      </c>
      <c r="AB78" s="391"/>
      <c r="AC78" s="233" t="s">
        <v>6</v>
      </c>
      <c r="AD78" s="254">
        <f>IF('Pořadí 10 Teams_2x5_Spielplan'!K50="","",'Pořadí 10 Teams_2x5_Spielplan'!K50)</f>
        <v>0</v>
      </c>
      <c r="AE78" s="286">
        <f>IF('Pořadí 10 Teams_2x5_Spielplan'!L50="","",'Pořadí 10 Teams_2x5_Spielplan'!L50)</f>
        <v>3</v>
      </c>
      <c r="AF78" s="258" t="s">
        <v>6</v>
      </c>
      <c r="AG78" s="287">
        <f>IF('Pořadí 10 Teams_2x5_Spielplan'!N50="","",'Pořadí 10 Teams_2x5_Spielplan'!N50)</f>
        <v>2</v>
      </c>
      <c r="AH78" s="280"/>
      <c r="AI78" s="34"/>
      <c r="AJ78" s="267" t="s">
        <v>229</v>
      </c>
      <c r="AL78" s="39"/>
      <c r="AM78" s="180">
        <f>BD78</f>
        <v>2</v>
      </c>
      <c r="AN78" s="180" t="str">
        <f>D77</f>
        <v>Sokol Šitbořice 2</v>
      </c>
      <c r="AO78" s="180" t="str">
        <f>IF($AM$65="","",VLOOKUP(1,$AM$65:$AR$66,3,0))</f>
        <v>Doležal Mikuláš</v>
      </c>
      <c r="AP78" s="180">
        <f>IF($AM$65="","",VLOOKUP(1,$AM$65:$AR$66,4,0))</f>
        <v>10147164340</v>
      </c>
      <c r="AQ78" s="180" t="str">
        <f>IF($AM$65="","",VLOOKUP(1,$AM$65:$AR$66,5,0))</f>
        <v>Doležal Vítek</v>
      </c>
      <c r="AR78" s="180">
        <f>IF($AM$65="","",VLOOKUP(1,$AM$65:$AR$66,6,0))</f>
        <v>10134812200</v>
      </c>
      <c r="AS78" s="180"/>
      <c r="AT78" s="255" t="str">
        <f>D77</f>
        <v>Sokol Šitbořice 2</v>
      </c>
      <c r="AU78" s="235">
        <f>AG77</f>
        <v>2</v>
      </c>
      <c r="AV78" s="236" t="s">
        <v>6</v>
      </c>
      <c r="AW78" s="235">
        <f>AE77</f>
        <v>2</v>
      </c>
      <c r="AX78" s="237">
        <f>AZ77</f>
        <v>2</v>
      </c>
      <c r="AY78" s="236" t="s">
        <v>6</v>
      </c>
      <c r="AZ78" s="237">
        <f>AX77</f>
        <v>3</v>
      </c>
      <c r="BA78" s="238">
        <f>IF(AU78&gt;AW78,3,0)</f>
        <v>0</v>
      </c>
      <c r="BB78" s="239">
        <f>IF(AX78&gt;AZ78,3,0)</f>
        <v>0</v>
      </c>
      <c r="BC78" s="240">
        <f>BA78+BB78</f>
        <v>0</v>
      </c>
      <c r="BD78" s="241">
        <f>IF(AT78="","",RANK(BC78,$BC$77:$BC$78))</f>
        <v>2</v>
      </c>
      <c r="BF78" s="98"/>
      <c r="BG78" s="253"/>
      <c r="BH78" s="221"/>
      <c r="BI78" s="221"/>
      <c r="BJ78"/>
      <c r="BK78" s="219"/>
      <c r="BL78" s="219"/>
    </row>
    <row r="79" spans="1:64" ht="4.95" customHeight="1" thickBot="1">
      <c r="AI79" s="34"/>
      <c r="AL79" s="39"/>
    </row>
    <row r="80" spans="1:64" ht="24" customHeight="1" thickBot="1">
      <c r="A80" s="443" t="str">
        <f>INDEX(BG31:BI31,$AJ$4)</f>
        <v>Konečné pořadí</v>
      </c>
      <c r="B80" s="445"/>
      <c r="C80" s="445"/>
      <c r="D80" s="445"/>
      <c r="E80" s="445"/>
      <c r="F80" s="445"/>
      <c r="G80" s="445"/>
      <c r="H80" s="446"/>
      <c r="K80" s="82"/>
      <c r="AE80"/>
      <c r="AG80"/>
      <c r="AL80" s="39"/>
    </row>
    <row r="81" spans="1:36" ht="10.5" customHeight="1" thickBot="1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AE81"/>
      <c r="AG81"/>
    </row>
    <row r="82" spans="1:36" ht="13.8" thickBot="1">
      <c r="A82" s="261" t="str">
        <f>INDEX(BG32:BI32,$AJ$4)</f>
        <v>Poř</v>
      </c>
      <c r="B82" s="409" t="str">
        <f>INDEX(BG13:BI13,$AJ$4)</f>
        <v>Těl. spolek - klub</v>
      </c>
      <c r="C82" s="410"/>
      <c r="D82" s="410"/>
      <c r="E82" s="411"/>
      <c r="F82" s="450" t="str">
        <f>INDEX(BG14:BI14,$AJ$4)</f>
        <v>Jméno</v>
      </c>
      <c r="G82" s="451"/>
      <c r="H82" s="451"/>
      <c r="I82" s="451"/>
      <c r="J82" s="451">
        <f>INDEX(BO83:BP83,$AJ$4)</f>
        <v>0</v>
      </c>
      <c r="K82" s="451"/>
      <c r="L82" s="451"/>
      <c r="M82" s="451"/>
      <c r="N82" s="451">
        <f>INDEX(BS83:BT83,$AJ$4)</f>
        <v>0</v>
      </c>
      <c r="O82" s="451"/>
      <c r="P82" s="451"/>
      <c r="Q82" s="452"/>
      <c r="R82" s="450" t="str">
        <f>INDEX(BG15:BI15,$AJ$4)</f>
        <v>UCI-ID</v>
      </c>
      <c r="S82" s="451"/>
      <c r="T82" s="451"/>
      <c r="U82" s="451"/>
      <c r="V82" s="452"/>
      <c r="W82" s="450" t="str">
        <f>INDEX(BG14:BI14,$AJ$4)</f>
        <v>Jméno</v>
      </c>
      <c r="X82" s="451"/>
      <c r="Y82" s="451"/>
      <c r="Z82" s="451"/>
      <c r="AA82" s="451">
        <f>INDEX(CF83:CG83,$AJ$4)</f>
        <v>0</v>
      </c>
      <c r="AB82" s="451"/>
      <c r="AC82" s="451"/>
      <c r="AD82" s="451"/>
      <c r="AE82" s="451">
        <f>INDEX(CJ83:CK83,$AJ$4)</f>
        <v>0</v>
      </c>
      <c r="AF82" s="452"/>
      <c r="AG82" s="450" t="str">
        <f>INDEX(BG15:BI15,$AJ$4)</f>
        <v>UCI-ID</v>
      </c>
      <c r="AH82" s="453"/>
      <c r="AJ82" s="89" t="s">
        <v>218</v>
      </c>
    </row>
    <row r="83" spans="1:36" ht="15" customHeight="1">
      <c r="A83" s="260" t="s">
        <v>8</v>
      </c>
      <c r="B83" s="366" t="str">
        <f>IF($AM$77="","",VLOOKUP(1,$AM$77:$AR$78,2,0))</f>
        <v>Sokol Zlín-Prštné 1</v>
      </c>
      <c r="C83" s="367"/>
      <c r="D83" s="367"/>
      <c r="E83" s="368"/>
      <c r="F83" s="369" t="str">
        <f>IF($AM$77="","",VLOOKUP(1,$AM$77:$AR$78,3,0))</f>
        <v>Samsonek Vít</v>
      </c>
      <c r="G83" s="370"/>
      <c r="H83" s="370"/>
      <c r="I83" s="371"/>
      <c r="J83" s="371"/>
      <c r="K83" s="371"/>
      <c r="L83" s="371"/>
      <c r="M83" s="371"/>
      <c r="N83" s="371"/>
      <c r="O83" s="371"/>
      <c r="P83" s="371"/>
      <c r="Q83" s="372"/>
      <c r="R83" s="471">
        <f>IF($AM$77="","",VLOOKUP(1,$AM$77:$AR$78,4,0))</f>
        <v>10148441609</v>
      </c>
      <c r="S83" s="473"/>
      <c r="T83" s="473"/>
      <c r="U83" s="473"/>
      <c r="V83" s="472"/>
      <c r="W83" s="274" t="str">
        <f>IF($AM$77="","",VLOOKUP(1,$AM$77:$AR$78,5,0))</f>
        <v>Hobza Robert</v>
      </c>
      <c r="X83" s="274"/>
      <c r="Y83" s="274"/>
      <c r="Z83" s="275"/>
      <c r="AA83" s="275"/>
      <c r="AB83" s="275"/>
      <c r="AC83" s="275"/>
      <c r="AD83" s="275"/>
      <c r="AE83" s="279"/>
      <c r="AF83" s="276"/>
      <c r="AG83" s="471">
        <f>IF($AM$77="","",VLOOKUP(1,$AM$77:$AR$78,6,0))</f>
        <v>10091960428</v>
      </c>
      <c r="AH83" s="472"/>
      <c r="AI83" s="14"/>
      <c r="AJ83" s="90" t="s">
        <v>215</v>
      </c>
    </row>
    <row r="84" spans="1:36" ht="15" customHeight="1">
      <c r="A84" s="88" t="s">
        <v>9</v>
      </c>
      <c r="B84" s="366" t="str">
        <f>IF($AM$77="","",VLOOKUP(2,$AM$77:$AR$78,2,0))</f>
        <v>Sokol Šitbořice 2</v>
      </c>
      <c r="C84" s="367"/>
      <c r="D84" s="367"/>
      <c r="E84" s="368"/>
      <c r="F84" s="369" t="str">
        <f>IF($AM$77="","",VLOOKUP(2,$AM$77:$AR$78,3,0))</f>
        <v>Doležal Mikuláš</v>
      </c>
      <c r="G84" s="370"/>
      <c r="H84" s="370"/>
      <c r="I84" s="371"/>
      <c r="J84" s="371"/>
      <c r="K84" s="371"/>
      <c r="L84" s="371"/>
      <c r="M84" s="371"/>
      <c r="N84" s="371"/>
      <c r="O84" s="371"/>
      <c r="P84" s="371"/>
      <c r="Q84" s="372"/>
      <c r="R84" s="469">
        <f>IF($AM$77="","",VLOOKUP(2,$AM$77:$AR$78,4,0))</f>
        <v>10147164340</v>
      </c>
      <c r="S84" s="470"/>
      <c r="T84" s="470"/>
      <c r="U84" s="470"/>
      <c r="V84" s="420"/>
      <c r="W84" s="274" t="str">
        <f>IF($AM$77="","",VLOOKUP(2,$AM$77:$AR$78,5,0))</f>
        <v>Doležal Vítek</v>
      </c>
      <c r="X84" s="274"/>
      <c r="Y84" s="274"/>
      <c r="Z84" s="275"/>
      <c r="AA84" s="275"/>
      <c r="AB84" s="275"/>
      <c r="AC84" s="275"/>
      <c r="AD84" s="275"/>
      <c r="AE84" s="279"/>
      <c r="AF84" s="276"/>
      <c r="AG84" s="469">
        <f>IF($AM$77="","",VLOOKUP(2,$AM$77:$AR$78,6,0))</f>
        <v>10134812200</v>
      </c>
      <c r="AH84" s="420"/>
      <c r="AI84" s="14"/>
      <c r="AJ84" s="14"/>
    </row>
    <row r="85" spans="1:36" ht="15" customHeight="1">
      <c r="A85" s="88" t="s">
        <v>13</v>
      </c>
      <c r="B85" s="366" t="str">
        <f>IF($AM$73="","",VLOOKUP(1,$AM$73:$AR$74,2,0))</f>
        <v>Sokol Šitbořice 1</v>
      </c>
      <c r="C85" s="367"/>
      <c r="D85" s="367"/>
      <c r="E85" s="368"/>
      <c r="F85" s="369" t="str">
        <f>IF($AM$73="","",VLOOKUP(1,$AM$73:$AR$74,3,0))</f>
        <v>Kyzlink Filip</v>
      </c>
      <c r="G85" s="370"/>
      <c r="H85" s="370"/>
      <c r="I85" s="371"/>
      <c r="J85" s="371"/>
      <c r="K85" s="371"/>
      <c r="L85" s="371"/>
      <c r="M85" s="371"/>
      <c r="N85" s="371"/>
      <c r="O85" s="371"/>
      <c r="P85" s="371"/>
      <c r="Q85" s="372"/>
      <c r="R85" s="469">
        <f>IF($AM$73="","",VLOOKUP(1,$AM$73:$AR$74,4,0))</f>
        <v>10157654383</v>
      </c>
      <c r="S85" s="470"/>
      <c r="T85" s="470"/>
      <c r="U85" s="470"/>
      <c r="V85" s="420"/>
      <c r="W85" s="274" t="str">
        <f>IF($AM$73="","",VLOOKUP(1,$AM$73:$AR$74,5,0))</f>
        <v>Šabata Matěj</v>
      </c>
      <c r="X85" s="274"/>
      <c r="Y85" s="274"/>
      <c r="Z85" s="275"/>
      <c r="AA85" s="275"/>
      <c r="AB85" s="275"/>
      <c r="AC85" s="275"/>
      <c r="AD85" s="275"/>
      <c r="AE85" s="279"/>
      <c r="AF85" s="276"/>
      <c r="AG85" s="469">
        <f>IF($AM$73="","",VLOOKUP(1,$AM$73:$AR$74,6,0))</f>
        <v>10099764177</v>
      </c>
      <c r="AH85" s="420"/>
      <c r="AI85" s="14"/>
      <c r="AJ85" s="14"/>
    </row>
    <row r="86" spans="1:36" ht="15" customHeight="1">
      <c r="A86" s="88" t="s">
        <v>12</v>
      </c>
      <c r="B86" s="366" t="str">
        <f>IF($AM$73="","",VLOOKUP(2,$AM$73:$AR$74,2,0))</f>
        <v>Liberec - Chrastava</v>
      </c>
      <c r="C86" s="367"/>
      <c r="D86" s="367"/>
      <c r="E86" s="368"/>
      <c r="F86" s="369" t="str">
        <f>IF($AM$73="","",VLOOKUP(2,$AM$73:$AR$74,3,0))</f>
        <v>Šámal Filip</v>
      </c>
      <c r="G86" s="370"/>
      <c r="H86" s="370"/>
      <c r="I86" s="371"/>
      <c r="J86" s="371"/>
      <c r="K86" s="371"/>
      <c r="L86" s="371"/>
      <c r="M86" s="371"/>
      <c r="N86" s="371"/>
      <c r="O86" s="371"/>
      <c r="P86" s="371"/>
      <c r="Q86" s="372"/>
      <c r="R86" s="469">
        <f>IF($AM$73="","",VLOOKUP(2,$AM$73:$AR$74,4,0))</f>
        <v>10111258980</v>
      </c>
      <c r="S86" s="470"/>
      <c r="T86" s="470"/>
      <c r="U86" s="470"/>
      <c r="V86" s="420"/>
      <c r="W86" s="274" t="str">
        <f>IF($AM$73="","",VLOOKUP(2,$AM$73:$AR$74,5,0))</f>
        <v>Turcanu Tomáš</v>
      </c>
      <c r="X86" s="274"/>
      <c r="Y86" s="274"/>
      <c r="Z86" s="275"/>
      <c r="AA86" s="275"/>
      <c r="AB86" s="275"/>
      <c r="AC86" s="275"/>
      <c r="AD86" s="275"/>
      <c r="AE86" s="279"/>
      <c r="AF86" s="276"/>
      <c r="AG86" s="469">
        <f>IF($AM$73="","",VLOOKUP(2,$AM$73:$AR$74,6,0))</f>
        <v>10159190421</v>
      </c>
      <c r="AH86" s="420"/>
      <c r="AI86" s="14"/>
      <c r="AJ86" s="14"/>
    </row>
    <row r="87" spans="1:36" ht="15" customHeight="1">
      <c r="A87" s="88" t="s">
        <v>10</v>
      </c>
      <c r="B87" s="366" t="str">
        <f>IF($AM$69="","",VLOOKUP(1,$AM$69:$AR$70,2,0))</f>
        <v>MILO Olomouc 1</v>
      </c>
      <c r="C87" s="367"/>
      <c r="D87" s="367"/>
      <c r="E87" s="368"/>
      <c r="F87" s="369" t="str">
        <f>IF($AM$69="","",VLOOKUP(1,$AM$69:$AR$70,3,0))</f>
        <v>Klesnil Lukáš</v>
      </c>
      <c r="G87" s="370"/>
      <c r="H87" s="370"/>
      <c r="I87" s="371"/>
      <c r="J87" s="371"/>
      <c r="K87" s="371"/>
      <c r="L87" s="371"/>
      <c r="M87" s="371"/>
      <c r="N87" s="371"/>
      <c r="O87" s="371"/>
      <c r="P87" s="371"/>
      <c r="Q87" s="372"/>
      <c r="R87" s="469">
        <f>IF($AM$69="","",VLOOKUP(1,$AM$69:$AR$70,4,0))</f>
        <v>10148286712</v>
      </c>
      <c r="S87" s="470"/>
      <c r="T87" s="470"/>
      <c r="U87" s="470"/>
      <c r="V87" s="420"/>
      <c r="W87" s="274" t="str">
        <f>IF($AM$69="","",VLOOKUP(1,$AM$69:$AR$70,5,0))</f>
        <v>Sedláček Jan</v>
      </c>
      <c r="X87" s="274"/>
      <c r="Y87" s="274"/>
      <c r="Z87" s="275"/>
      <c r="AA87" s="275"/>
      <c r="AB87" s="275"/>
      <c r="AC87" s="275"/>
      <c r="AD87" s="275"/>
      <c r="AE87" s="279"/>
      <c r="AF87" s="276"/>
      <c r="AG87" s="469">
        <f>IF($AM$69="","",VLOOKUP(1,$AM$69:$AR$70,6,0))</f>
        <v>10158891640</v>
      </c>
      <c r="AH87" s="420"/>
      <c r="AI87" s="14"/>
      <c r="AJ87" s="14"/>
    </row>
    <row r="88" spans="1:36" ht="15" customHeight="1">
      <c r="A88" s="88" t="s">
        <v>11</v>
      </c>
      <c r="B88" s="366" t="str">
        <f>IF($AM$69="","",VLOOKUP(2,$AM$69:$AR$70,2,0))</f>
        <v>Start Plzeň</v>
      </c>
      <c r="C88" s="367"/>
      <c r="D88" s="367"/>
      <c r="E88" s="368"/>
      <c r="F88" s="369" t="str">
        <f>IF($AM$69="","",VLOOKUP(2,$AM$69:$AR$70,3,0))</f>
        <v>Bartošek Lukáš</v>
      </c>
      <c r="G88" s="370"/>
      <c r="H88" s="370"/>
      <c r="I88" s="371"/>
      <c r="J88" s="371"/>
      <c r="K88" s="371"/>
      <c r="L88" s="371"/>
      <c r="M88" s="371"/>
      <c r="N88" s="371"/>
      <c r="O88" s="371"/>
      <c r="P88" s="371"/>
      <c r="Q88" s="372"/>
      <c r="R88" s="469">
        <f>IF($AM$69="","",VLOOKUP(2,$AM$69:$AR$70,4,0))</f>
        <v>10105623482</v>
      </c>
      <c r="S88" s="470"/>
      <c r="T88" s="470"/>
      <c r="U88" s="470"/>
      <c r="V88" s="420"/>
      <c r="W88" s="274" t="str">
        <f>IF($AM$69="","",VLOOKUP(2,$AM$69:$AR$70,5,0))</f>
        <v>Culek Mikuláš</v>
      </c>
      <c r="X88" s="274"/>
      <c r="Y88" s="274"/>
      <c r="Z88" s="275"/>
      <c r="AA88" s="275"/>
      <c r="AB88" s="275"/>
      <c r="AC88" s="275"/>
      <c r="AD88" s="275"/>
      <c r="AE88" s="279"/>
      <c r="AF88" s="276"/>
      <c r="AG88" s="469">
        <f>IF($AM$69="","",VLOOKUP(2,$AM$69:$AR$70,6,0))</f>
        <v>10123992959</v>
      </c>
      <c r="AH88" s="420"/>
      <c r="AI88" s="14"/>
      <c r="AJ88" s="14"/>
    </row>
    <row r="89" spans="1:36" ht="15" customHeight="1">
      <c r="A89" s="88" t="s">
        <v>14</v>
      </c>
      <c r="B89" s="366" t="str">
        <f>IF($AM$61="","",VLOOKUP(1,$AM$61:$AR$62,2,0))</f>
        <v>MILO Olomouc 2</v>
      </c>
      <c r="C89" s="367"/>
      <c r="D89" s="367"/>
      <c r="E89" s="368"/>
      <c r="F89" s="369" t="str">
        <f>IF($AM$61="","",VLOOKUP(1,$AM$61:$AR$62,3,0))</f>
        <v>Klesnil Vilém</v>
      </c>
      <c r="G89" s="370"/>
      <c r="H89" s="370"/>
      <c r="I89" s="371"/>
      <c r="J89" s="371"/>
      <c r="K89" s="371"/>
      <c r="L89" s="371"/>
      <c r="M89" s="371"/>
      <c r="N89" s="371"/>
      <c r="O89" s="371"/>
      <c r="P89" s="371"/>
      <c r="Q89" s="372"/>
      <c r="R89" s="469">
        <f>IF($AM$61="","",VLOOKUP(1,$AM$61:$AR$62,4,0))</f>
        <v>10148287621</v>
      </c>
      <c r="S89" s="470"/>
      <c r="T89" s="470"/>
      <c r="U89" s="470"/>
      <c r="V89" s="420"/>
      <c r="W89" s="274" t="str">
        <f>IF($AM$61="","",VLOOKUP(1,$AM$61:$AR$62,5,0))</f>
        <v>Šimlík Bohdan</v>
      </c>
      <c r="X89" s="274"/>
      <c r="Y89" s="274"/>
      <c r="Z89" s="275"/>
      <c r="AA89" s="275"/>
      <c r="AB89" s="275"/>
      <c r="AC89" s="275"/>
      <c r="AD89" s="275"/>
      <c r="AE89" s="279"/>
      <c r="AF89" s="276"/>
      <c r="AG89" s="469">
        <f>IF($AM$61="","",VLOOKUP(1,$AM$61:$AR$62,6,0))</f>
        <v>10135701162</v>
      </c>
      <c r="AH89" s="420"/>
      <c r="AI89" s="14"/>
      <c r="AJ89" s="14"/>
    </row>
    <row r="90" spans="1:36" ht="15" customHeight="1">
      <c r="A90" s="88" t="s">
        <v>15</v>
      </c>
      <c r="B90" s="366" t="str">
        <f>IF($AM$61="","",VLOOKUP(2,$AM$61:$AR$62,2,0))</f>
        <v>Sokol Šitbořice 3</v>
      </c>
      <c r="C90" s="367"/>
      <c r="D90" s="367"/>
      <c r="E90" s="368"/>
      <c r="F90" s="369" t="str">
        <f>IF($AM$61="","",VLOOKUP(2,$AM$61:$AR$62,3,0))</f>
        <v>Klein Patrik</v>
      </c>
      <c r="G90" s="370"/>
      <c r="H90" s="370"/>
      <c r="I90" s="371"/>
      <c r="J90" s="371"/>
      <c r="K90" s="371"/>
      <c r="L90" s="371"/>
      <c r="M90" s="371"/>
      <c r="N90" s="371"/>
      <c r="O90" s="371"/>
      <c r="P90" s="371"/>
      <c r="Q90" s="372"/>
      <c r="R90" s="469">
        <f>IF($AM$61="","",VLOOKUP(2,$AM$61:$AR$62,4,0))</f>
        <v>10168434521</v>
      </c>
      <c r="S90" s="470"/>
      <c r="T90" s="470"/>
      <c r="U90" s="470"/>
      <c r="V90" s="420"/>
      <c r="W90" s="274" t="str">
        <f>IF($AM$61="","",VLOOKUP(2,$AM$61:$AR$62,5,0))</f>
        <v>Mayer Václav</v>
      </c>
      <c r="X90" s="274"/>
      <c r="Y90" s="274"/>
      <c r="Z90" s="275"/>
      <c r="AA90" s="275"/>
      <c r="AB90" s="275"/>
      <c r="AC90" s="275"/>
      <c r="AD90" s="275"/>
      <c r="AE90" s="279"/>
      <c r="AF90" s="276"/>
      <c r="AG90" s="469">
        <f>IF($AM$61="","",VLOOKUP(2,$AM$61:$AR$62,6,0))</f>
        <v>10137204359</v>
      </c>
      <c r="AH90" s="420"/>
      <c r="AI90" s="15"/>
      <c r="AJ90" s="15"/>
    </row>
    <row r="91" spans="1:36" ht="15" customHeight="1">
      <c r="A91" s="88" t="s">
        <v>16</v>
      </c>
      <c r="B91" s="169" t="str">
        <f>IF($AM$53="","",VLOOKUP(1,$AM$53:$AR$54,2,0))</f>
        <v>Spartak Chrastava</v>
      </c>
      <c r="C91" s="170"/>
      <c r="D91" s="170"/>
      <c r="E91" s="171"/>
      <c r="F91" s="277" t="str">
        <f>IF($AM$53="","",VLOOKUP(1,$AM$53:$AR$54,3,0))</f>
        <v>Havle Petr</v>
      </c>
      <c r="G91" s="271"/>
      <c r="H91" s="271"/>
      <c r="I91" s="272"/>
      <c r="J91" s="272"/>
      <c r="K91" s="272"/>
      <c r="L91" s="272"/>
      <c r="M91" s="272"/>
      <c r="N91" s="272"/>
      <c r="O91" s="272"/>
      <c r="P91" s="272"/>
      <c r="Q91" s="278"/>
      <c r="R91" s="469" t="str">
        <f>IF($AM$53="","",VLOOKUP(1,$AM$53:$AR$54,4,0))</f>
        <v>čl.pr. TJ/SK</v>
      </c>
      <c r="S91" s="470"/>
      <c r="T91" s="470"/>
      <c r="U91" s="470"/>
      <c r="V91" s="420"/>
      <c r="W91" s="273" t="str">
        <f>IF($AM$53="","",VLOOKUP(1,$AM$53:$AR$54,5,0))</f>
        <v>Malý Radek</v>
      </c>
      <c r="X91" s="274"/>
      <c r="Y91" s="274"/>
      <c r="Z91" s="275"/>
      <c r="AA91" s="275"/>
      <c r="AB91" s="275"/>
      <c r="AC91" s="275"/>
      <c r="AD91" s="275"/>
      <c r="AE91" s="279"/>
      <c r="AF91" s="276"/>
      <c r="AG91" s="469">
        <f>IF($AM$53="","",VLOOKUP(1,$AM$53:$AR$54,6,0))</f>
        <v>10159190320</v>
      </c>
      <c r="AH91" s="420"/>
      <c r="AI91" s="15"/>
      <c r="AJ91" s="15"/>
    </row>
    <row r="92" spans="1:36" ht="15" customHeight="1">
      <c r="A92" s="88" t="s">
        <v>18</v>
      </c>
      <c r="B92" s="169" t="str">
        <f>IF($AM$53="","",VLOOKUP(2,$AM$53:$AR$54,2,0))</f>
        <v>Sokol Zlín-Prštné 2</v>
      </c>
      <c r="C92" s="170"/>
      <c r="D92" s="170"/>
      <c r="E92" s="171"/>
      <c r="F92" s="277" t="str">
        <f>IF($AM$53="","",VLOOKUP(2,$AM$53:$AR$54,3,0))</f>
        <v>Hobzová Veronika</v>
      </c>
      <c r="G92" s="271"/>
      <c r="H92" s="271"/>
      <c r="I92" s="272"/>
      <c r="J92" s="272"/>
      <c r="K92" s="272"/>
      <c r="L92" s="272"/>
      <c r="M92" s="272"/>
      <c r="N92" s="272"/>
      <c r="O92" s="272"/>
      <c r="P92" s="272"/>
      <c r="Q92" s="278"/>
      <c r="R92" s="469">
        <f>IF($AM$53="","",VLOOKUP(2,$AM$53:$AR$54,4,0))</f>
        <v>10173983729</v>
      </c>
      <c r="S92" s="470"/>
      <c r="T92" s="470"/>
      <c r="U92" s="470"/>
      <c r="V92" s="420"/>
      <c r="W92" s="273" t="str">
        <f>IF($AM$53="","",VLOOKUP(2,$AM$53:$AR$54,5,0))</f>
        <v>Struhařová Sára</v>
      </c>
      <c r="X92" s="274"/>
      <c r="Y92" s="274"/>
      <c r="Z92" s="275"/>
      <c r="AA92" s="275"/>
      <c r="AB92" s="275"/>
      <c r="AC92" s="275"/>
      <c r="AD92" s="275"/>
      <c r="AE92" s="279"/>
      <c r="AF92" s="276"/>
      <c r="AG92" s="469">
        <f>IF($AM$53="","",VLOOKUP(2,$AM$53:$AR$54,6,0))</f>
        <v>10091960529</v>
      </c>
      <c r="AH92" s="420"/>
      <c r="AI92" s="15"/>
      <c r="AJ92" s="15"/>
    </row>
    <row r="93" spans="1:36" ht="10.5" customHeight="1" thickBot="1"/>
    <row r="94" spans="1:36" ht="24" customHeight="1" thickBot="1">
      <c r="A94" s="443" t="str">
        <f>INDEX(BG16:BI16,$AJ$4)</f>
        <v>Rozhodčí</v>
      </c>
      <c r="B94" s="436"/>
      <c r="C94" s="436"/>
      <c r="D94" s="436"/>
      <c r="E94" s="436"/>
      <c r="F94" s="436"/>
      <c r="G94" s="436"/>
      <c r="H94" s="437"/>
      <c r="AE94"/>
      <c r="AG94"/>
    </row>
    <row r="95" spans="1:36" ht="6" customHeight="1">
      <c r="AE95"/>
      <c r="AG95"/>
    </row>
    <row r="96" spans="1:36" ht="16.95" customHeight="1">
      <c r="A96" s="5"/>
      <c r="B96" s="16" t="str">
        <f>INDEX(BG17:BI17,$AJ$4)</f>
        <v>Hlavní rozhodčí:</v>
      </c>
      <c r="C96" s="124" t="s">
        <v>306</v>
      </c>
      <c r="D96" s="160"/>
      <c r="E96" s="12"/>
      <c r="F96" s="12"/>
      <c r="G96" s="11"/>
      <c r="H96" s="12"/>
      <c r="I96" s="12"/>
      <c r="J96" s="12"/>
      <c r="K96" s="17"/>
      <c r="L96" s="12"/>
      <c r="M96" s="12"/>
      <c r="N96" s="12"/>
      <c r="O96" s="12"/>
      <c r="P96" s="14"/>
      <c r="Q96" s="14"/>
      <c r="R96" s="16"/>
      <c r="S96" s="14"/>
      <c r="T96" s="14"/>
      <c r="U96" s="117" t="str">
        <f>INDEX(BG20:BI20,$AJ$4)</f>
        <v>Rozhodčí:</v>
      </c>
      <c r="V96" s="14"/>
      <c r="W96" s="124" t="s">
        <v>308</v>
      </c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4"/>
      <c r="AI96" s="14"/>
      <c r="AJ96" s="14"/>
    </row>
    <row r="97" spans="1:64" ht="16.95" customHeight="1">
      <c r="A97" s="5"/>
      <c r="B97" s="16" t="str">
        <f>INDEX(BG18:BI18,$AJ$4)</f>
        <v>Časoměřič:</v>
      </c>
      <c r="C97" s="124" t="s">
        <v>307</v>
      </c>
      <c r="D97" s="160"/>
      <c r="E97" s="12"/>
      <c r="F97" s="12"/>
      <c r="G97" s="12"/>
      <c r="H97" s="12"/>
      <c r="I97" s="12"/>
      <c r="J97" s="12"/>
      <c r="K97" s="17"/>
      <c r="L97" s="12"/>
      <c r="M97" s="12"/>
      <c r="N97" s="12"/>
      <c r="O97" s="12"/>
      <c r="P97" s="14"/>
      <c r="Q97" s="14"/>
      <c r="R97" s="14"/>
      <c r="S97" s="14"/>
      <c r="T97" s="14"/>
      <c r="U97" s="14"/>
      <c r="V97" s="14"/>
      <c r="W97" s="124" t="s">
        <v>309</v>
      </c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4"/>
      <c r="AI97" s="14"/>
      <c r="AJ97" s="14"/>
    </row>
    <row r="98" spans="1:64" ht="16.95" customHeight="1">
      <c r="A98" s="5"/>
      <c r="B98" s="16" t="str">
        <f>INDEX(BG19:BI19,$AJ$4)</f>
        <v>Zapisovatel:</v>
      </c>
      <c r="C98" s="124" t="s">
        <v>307</v>
      </c>
      <c r="D98" s="160"/>
      <c r="E98" s="12"/>
      <c r="F98" s="12"/>
      <c r="G98" s="12"/>
      <c r="H98" s="12"/>
      <c r="I98" s="12"/>
      <c r="J98" s="12"/>
      <c r="K98" s="17"/>
      <c r="L98" s="12"/>
      <c r="M98" s="12"/>
      <c r="N98" s="12"/>
      <c r="O98" s="12"/>
      <c r="P98" s="14"/>
      <c r="Q98" s="14"/>
      <c r="R98" s="14"/>
      <c r="S98" s="14"/>
      <c r="T98" s="14"/>
      <c r="U98" s="14"/>
      <c r="V98" s="14"/>
      <c r="W98" s="124" t="s">
        <v>306</v>
      </c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4"/>
      <c r="AI98" s="14"/>
      <c r="AJ98" s="14"/>
    </row>
    <row r="99" spans="1:64" ht="16.95" customHeight="1">
      <c r="A99" s="5"/>
      <c r="B99" s="16"/>
      <c r="C99" s="30"/>
      <c r="D99" s="9"/>
      <c r="E99" s="9"/>
      <c r="F99" s="9"/>
      <c r="G99" s="9"/>
      <c r="H99" s="9"/>
      <c r="I99" s="9"/>
      <c r="J99" s="9"/>
      <c r="K99" s="30"/>
      <c r="L99" s="9"/>
      <c r="M99" s="9"/>
      <c r="N99" s="9"/>
      <c r="O99" s="9"/>
      <c r="P99" s="14"/>
      <c r="Q99" s="14"/>
      <c r="R99" s="14"/>
      <c r="S99" s="14"/>
      <c r="T99" s="14"/>
      <c r="U99" s="14"/>
      <c r="V99" s="14"/>
      <c r="W99" s="31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4"/>
      <c r="AI99" s="14"/>
      <c r="AJ99" s="14"/>
    </row>
    <row r="100" spans="1:64" ht="7.05" customHeight="1" thickBot="1"/>
    <row r="101" spans="1:64" ht="22.5" customHeight="1" thickBot="1">
      <c r="A101" s="443" t="str">
        <f>INDEX(BG28:BI28,$AJ$4)</f>
        <v>Různé</v>
      </c>
      <c r="B101" s="436"/>
      <c r="C101" s="436"/>
      <c r="D101" s="436"/>
      <c r="E101" s="436"/>
      <c r="F101" s="436"/>
      <c r="G101" s="436"/>
      <c r="H101" s="437"/>
      <c r="K101" s="18"/>
    </row>
    <row r="102" spans="1:64" ht="18" customHeight="1">
      <c r="A102" s="13"/>
      <c r="B102" s="125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</row>
    <row r="103" spans="1:64" ht="18" customHeight="1">
      <c r="A103" s="13"/>
      <c r="B103" s="126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</row>
    <row r="104" spans="1:64" ht="18" customHeight="1">
      <c r="A104" s="13"/>
      <c r="B104" s="136"/>
      <c r="C104" s="135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5"/>
      <c r="S104" s="135"/>
      <c r="T104" s="135"/>
      <c r="U104" s="135"/>
      <c r="V104" s="135"/>
      <c r="W104" s="135"/>
      <c r="X104" s="135"/>
      <c r="Y104" s="135"/>
      <c r="Z104" s="135"/>
      <c r="AA104" s="135"/>
      <c r="AB104" s="135"/>
      <c r="AC104" s="135"/>
      <c r="AD104" s="135"/>
      <c r="AE104" s="135"/>
      <c r="AF104" s="135"/>
      <c r="AG104" s="135"/>
      <c r="AH104" s="135"/>
    </row>
    <row r="105" spans="1:64" ht="18" customHeight="1">
      <c r="A105" s="13"/>
      <c r="B105" s="136" t="s">
        <v>298</v>
      </c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5"/>
      <c r="Z105" s="135"/>
      <c r="AA105" s="135"/>
      <c r="AB105" s="135"/>
      <c r="AC105" s="135"/>
      <c r="AD105" s="135"/>
      <c r="AE105" s="135"/>
      <c r="AF105" s="135"/>
      <c r="AG105" s="135"/>
      <c r="AH105" s="135"/>
    </row>
    <row r="106" spans="1:64" ht="13.8">
      <c r="B106" s="6" t="str">
        <f>INDEX(BG30:BI30,$AJ$4)</f>
        <v>Za pořadatele:</v>
      </c>
      <c r="C106" s="2"/>
      <c r="D106" s="2"/>
      <c r="E106" s="2"/>
      <c r="F106" s="2"/>
      <c r="G106" s="2"/>
      <c r="I106" s="2"/>
      <c r="J106" s="2"/>
      <c r="K106" s="2"/>
      <c r="L106" s="2"/>
      <c r="M106" s="2"/>
      <c r="N106" s="2"/>
      <c r="Q106" s="6" t="str">
        <f>INDEX(BG16:BI16,$AJ$4)</f>
        <v>Rozhodčí</v>
      </c>
    </row>
    <row r="108" spans="1:64"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K108"/>
      <c r="BL108"/>
    </row>
    <row r="109" spans="1:64"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K109"/>
      <c r="BL109"/>
    </row>
    <row r="110" spans="1:64"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K110"/>
      <c r="BL110"/>
    </row>
    <row r="111" spans="1:64"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K111"/>
      <c r="BL111"/>
    </row>
  </sheetData>
  <mergeCells count="136">
    <mergeCell ref="AG14:AH14"/>
    <mergeCell ref="AG16:AH16"/>
    <mergeCell ref="AG23:AH23"/>
    <mergeCell ref="AG92:AH92"/>
    <mergeCell ref="R86:V86"/>
    <mergeCell ref="AG83:AH83"/>
    <mergeCell ref="AG84:AH84"/>
    <mergeCell ref="AG85:AH85"/>
    <mergeCell ref="AG86:AH86"/>
    <mergeCell ref="AG87:AH87"/>
    <mergeCell ref="AG88:AH88"/>
    <mergeCell ref="AG89:AH89"/>
    <mergeCell ref="AG90:AH90"/>
    <mergeCell ref="AG91:AH91"/>
    <mergeCell ref="R83:V83"/>
    <mergeCell ref="R84:V84"/>
    <mergeCell ref="R85:V85"/>
    <mergeCell ref="R87:V87"/>
    <mergeCell ref="R88:V88"/>
    <mergeCell ref="R89:V89"/>
    <mergeCell ref="R90:V90"/>
    <mergeCell ref="R91:V91"/>
    <mergeCell ref="R92:V92"/>
    <mergeCell ref="AG21:AH21"/>
    <mergeCell ref="AG12:AH12"/>
    <mergeCell ref="U27:W27"/>
    <mergeCell ref="C5:K5"/>
    <mergeCell ref="R12:V12"/>
    <mergeCell ref="A10:H10"/>
    <mergeCell ref="A36:W36"/>
    <mergeCell ref="X27:Z27"/>
    <mergeCell ref="A52:A53"/>
    <mergeCell ref="AG20:AH20"/>
    <mergeCell ref="R19:V19"/>
    <mergeCell ref="AG19:AH19"/>
    <mergeCell ref="R13:V13"/>
    <mergeCell ref="AG13:AH13"/>
    <mergeCell ref="R22:V22"/>
    <mergeCell ref="AG22:AH22"/>
    <mergeCell ref="K6:AA6"/>
    <mergeCell ref="O12:Q12"/>
    <mergeCell ref="F12:N12"/>
    <mergeCell ref="AE12:AF12"/>
    <mergeCell ref="W12:AD12"/>
    <mergeCell ref="R14:V14"/>
    <mergeCell ref="R16:V16"/>
    <mergeCell ref="R17:V17"/>
    <mergeCell ref="R23:V23"/>
    <mergeCell ref="A101:H101"/>
    <mergeCell ref="R27:T27"/>
    <mergeCell ref="U38:W38"/>
    <mergeCell ref="A80:H80"/>
    <mergeCell ref="A50:X50"/>
    <mergeCell ref="W53:Z53"/>
    <mergeCell ref="D53:M53"/>
    <mergeCell ref="D57:M57"/>
    <mergeCell ref="D61:M61"/>
    <mergeCell ref="D65:M65"/>
    <mergeCell ref="A60:A61"/>
    <mergeCell ref="S60:Z60"/>
    <mergeCell ref="A64:A65"/>
    <mergeCell ref="S64:Z64"/>
    <mergeCell ref="B82:E82"/>
    <mergeCell ref="F82:Q82"/>
    <mergeCell ref="R82:V82"/>
    <mergeCell ref="W82:AF82"/>
    <mergeCell ref="AA66:AB66"/>
    <mergeCell ref="AA62:AB62"/>
    <mergeCell ref="AE56:AG56"/>
    <mergeCell ref="AG82:AH82"/>
    <mergeCell ref="AA74:AB74"/>
    <mergeCell ref="AE64:AG64"/>
    <mergeCell ref="A68:A69"/>
    <mergeCell ref="S68:Z68"/>
    <mergeCell ref="AA68:AD68"/>
    <mergeCell ref="AE68:AG68"/>
    <mergeCell ref="S69:V69"/>
    <mergeCell ref="W69:Z69"/>
    <mergeCell ref="AA70:AB70"/>
    <mergeCell ref="AA64:AD64"/>
    <mergeCell ref="A94:H94"/>
    <mergeCell ref="A76:A77"/>
    <mergeCell ref="S76:Z76"/>
    <mergeCell ref="A72:A73"/>
    <mergeCell ref="S72:Z72"/>
    <mergeCell ref="AA72:AD72"/>
    <mergeCell ref="AE76:AG76"/>
    <mergeCell ref="S77:V77"/>
    <mergeCell ref="W77:Z77"/>
    <mergeCell ref="AA77:AB77"/>
    <mergeCell ref="AE72:AG72"/>
    <mergeCell ref="S73:V73"/>
    <mergeCell ref="W73:Z73"/>
    <mergeCell ref="AA73:AB73"/>
    <mergeCell ref="D73:M73"/>
    <mergeCell ref="AG15:AH15"/>
    <mergeCell ref="AG17:AH17"/>
    <mergeCell ref="R18:V18"/>
    <mergeCell ref="AG18:AH18"/>
    <mergeCell ref="S65:V65"/>
    <mergeCell ref="W65:Z65"/>
    <mergeCell ref="AA65:AB65"/>
    <mergeCell ref="AE60:AG60"/>
    <mergeCell ref="R38:T38"/>
    <mergeCell ref="X38:Z38"/>
    <mergeCell ref="AA52:AD52"/>
    <mergeCell ref="S52:Z52"/>
    <mergeCell ref="S53:V53"/>
    <mergeCell ref="AA54:AB54"/>
    <mergeCell ref="AA53:AB53"/>
    <mergeCell ref="A25:W25"/>
    <mergeCell ref="AE52:AG52"/>
    <mergeCell ref="A56:A57"/>
    <mergeCell ref="S57:V57"/>
    <mergeCell ref="W57:Z57"/>
    <mergeCell ref="AA57:AB57"/>
    <mergeCell ref="S56:Z56"/>
    <mergeCell ref="AA56:AD56"/>
    <mergeCell ref="AA61:AB61"/>
    <mergeCell ref="C4:AC4"/>
    <mergeCell ref="Q5:AC5"/>
    <mergeCell ref="AA78:AB78"/>
    <mergeCell ref="D77:M77"/>
    <mergeCell ref="AA69:AB69"/>
    <mergeCell ref="D69:M69"/>
    <mergeCell ref="AA60:AD60"/>
    <mergeCell ref="R15:V15"/>
    <mergeCell ref="R21:V21"/>
    <mergeCell ref="AA76:AD76"/>
    <mergeCell ref="C7:D7"/>
    <mergeCell ref="F7:G7"/>
    <mergeCell ref="B12:E12"/>
    <mergeCell ref="R20:V20"/>
    <mergeCell ref="S61:V61"/>
    <mergeCell ref="W61:Z61"/>
    <mergeCell ref="AA58:AB58"/>
  </mergeCells>
  <conditionalFormatting sqref="AH28:AH32">
    <cfRule type="duplicateValues" dxfId="8" priority="9" stopIfTrue="1"/>
  </conditionalFormatting>
  <conditionalFormatting sqref="AH39:AH43">
    <cfRule type="duplicateValues" dxfId="7" priority="8" stopIfTrue="1"/>
  </conditionalFormatting>
  <conditionalFormatting sqref="AH54">
    <cfRule type="duplicateValues" dxfId="6" priority="7" stopIfTrue="1"/>
  </conditionalFormatting>
  <conditionalFormatting sqref="AH58">
    <cfRule type="duplicateValues" dxfId="5" priority="6" stopIfTrue="1"/>
  </conditionalFormatting>
  <conditionalFormatting sqref="AH62">
    <cfRule type="duplicateValues" dxfId="4" priority="5" stopIfTrue="1"/>
  </conditionalFormatting>
  <conditionalFormatting sqref="AH66">
    <cfRule type="duplicateValues" dxfId="3" priority="4" stopIfTrue="1"/>
  </conditionalFormatting>
  <conditionalFormatting sqref="AH70">
    <cfRule type="duplicateValues" dxfId="2" priority="3" stopIfTrue="1"/>
  </conditionalFormatting>
  <conditionalFormatting sqref="AH74">
    <cfRule type="duplicateValues" dxfId="1" priority="2" stopIfTrue="1"/>
  </conditionalFormatting>
  <conditionalFormatting sqref="AH78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K6:AA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1496062992125984" right="0.27559055118110237" top="0.43307086614173229" bottom="0.9" header="0.23622047244094491" footer="0.43307086614173229"/>
  <pageSetup paperSize="256" scale="90" orientation="portrait" horizontalDpi="300" verticalDpi="300" r:id="rId1"/>
  <headerFooter alignWithMargins="0">
    <oddFooter>&amp;C&amp;P&amp;R&amp;A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"/>
  <sheetViews>
    <sheetView showGridLines="0" zoomScale="80" zoomScaleNormal="80" workbookViewId="0">
      <selection activeCell="H12" sqref="H12"/>
    </sheetView>
  </sheetViews>
  <sheetFormatPr defaultRowHeight="13.2"/>
  <cols>
    <col min="1" max="1" width="4.77734375" customWidth="1"/>
    <col min="2" max="2" width="5" customWidth="1"/>
    <col min="3" max="3" width="22" customWidth="1"/>
    <col min="4" max="4" width="1.44140625" customWidth="1"/>
    <col min="5" max="5" width="22.77734375" customWidth="1"/>
    <col min="6" max="6" width="10.6640625" customWidth="1"/>
    <col min="7" max="8" width="9" customWidth="1"/>
    <col min="9" max="9" width="4.44140625" style="152" customWidth="1"/>
    <col min="10" max="10" width="1.21875" style="152" customWidth="1"/>
    <col min="11" max="12" width="4.44140625" style="152" customWidth="1"/>
    <col min="13" max="13" width="1.21875" style="152" customWidth="1"/>
    <col min="14" max="14" width="4.44140625" style="152" customWidth="1"/>
    <col min="16" max="16" width="6.21875" customWidth="1"/>
    <col min="17" max="17" width="22.21875" customWidth="1"/>
    <col min="18" max="18" width="7.88671875" customWidth="1"/>
    <col min="19" max="19" width="24.77734375" customWidth="1"/>
    <col min="20" max="20" width="4.77734375" customWidth="1"/>
    <col min="21" max="21" width="9.77734375" customWidth="1"/>
    <col min="22" max="22" width="6.77734375" customWidth="1"/>
    <col min="23" max="24" width="5.5546875" hidden="1" customWidth="1"/>
    <col min="25" max="30" width="8.77734375" hidden="1" customWidth="1"/>
    <col min="31" max="31" width="8.77734375" customWidth="1"/>
    <col min="32" max="32" width="8.88671875" customWidth="1"/>
  </cols>
  <sheetData>
    <row r="1" spans="1:33" ht="9" customHeight="1" thickBot="1">
      <c r="W1" s="108" t="s">
        <v>127</v>
      </c>
      <c r="X1" s="108" t="s">
        <v>128</v>
      </c>
      <c r="Y1" s="108" t="s">
        <v>129</v>
      </c>
    </row>
    <row r="2" spans="1:33" s="45" customFormat="1" ht="25.95" customHeight="1" thickTop="1" thickBot="1">
      <c r="A2" s="495" t="str">
        <f>INDEX(W5:Y5,$P$2)</f>
        <v>Pořadí zápasů - 2 x 5 družstev</v>
      </c>
      <c r="B2" s="496"/>
      <c r="C2" s="496"/>
      <c r="D2" s="496"/>
      <c r="E2" s="496"/>
      <c r="F2" s="496"/>
      <c r="G2" s="496"/>
      <c r="H2" s="496"/>
      <c r="I2" s="492" t="s">
        <v>262</v>
      </c>
      <c r="J2" s="493"/>
      <c r="K2" s="494"/>
      <c r="L2" s="492" t="s">
        <v>291</v>
      </c>
      <c r="M2" s="493"/>
      <c r="N2" s="494"/>
      <c r="P2" s="96">
        <f>'Protokol 10 Teams_2x5'!AJ4</f>
        <v>1</v>
      </c>
      <c r="Q2" s="97" t="str">
        <f>INDEX(W4:Y4,$P$2)</f>
        <v>Prosím pro jazyk zadejte číslo v buňce $L$2 (CZ=1, D=2, EN=3 )</v>
      </c>
      <c r="R2" s="98"/>
      <c r="S2" s="98"/>
      <c r="T2" s="98"/>
      <c r="U2" s="98"/>
      <c r="V2" s="98"/>
      <c r="W2" s="98"/>
      <c r="X2" s="98"/>
      <c r="Y2" s="98"/>
    </row>
    <row r="3" spans="1:33" ht="11.55" customHeight="1" thickBot="1">
      <c r="E3" s="48"/>
      <c r="F3" s="282" t="s">
        <v>219</v>
      </c>
      <c r="G3" s="49"/>
      <c r="H3" s="49"/>
      <c r="I3" s="153"/>
      <c r="J3" s="153"/>
      <c r="K3" s="153"/>
      <c r="L3" s="153"/>
      <c r="M3" s="153"/>
      <c r="N3" s="153"/>
    </row>
    <row r="4" spans="1:33" ht="16.05" customHeight="1" thickBot="1">
      <c r="A4" s="497" t="str">
        <f>INDEX(W6:Y6,$P$2)</f>
        <v>Č.</v>
      </c>
      <c r="B4" s="499" t="str">
        <f>INDEX(W7:Y7,$P$2)</f>
        <v>Sk.</v>
      </c>
      <c r="C4" s="501" t="str">
        <f>INDEX(W8:Y8,$P$2)</f>
        <v>1.družstvo</v>
      </c>
      <c r="D4" s="487" t="s">
        <v>6</v>
      </c>
      <c r="E4" s="487" t="str">
        <f>INDEX(W9:Y9,$P$2)</f>
        <v>2.družstvo</v>
      </c>
      <c r="F4" s="503" t="str">
        <f>INDEX(W10:Y10,$P$2)</f>
        <v>Rozhodčí</v>
      </c>
      <c r="G4" s="505" t="str">
        <f>INDEX(W11:Y11,$P$2)</f>
        <v>Branky poločasů</v>
      </c>
      <c r="H4" s="506"/>
      <c r="I4" s="475" t="str">
        <f>INDEX(W14:Y14,$P$2)</f>
        <v>Poločas</v>
      </c>
      <c r="J4" s="476"/>
      <c r="K4" s="477"/>
      <c r="L4" s="481" t="str">
        <f>INDEX(W15:Y15,$P$2)</f>
        <v>Výsledek</v>
      </c>
      <c r="M4" s="482"/>
      <c r="N4" s="483"/>
      <c r="P4" s="57" t="str">
        <f>INDEX(W16:Y16,$P$2)</f>
        <v>MIMO OBLAST TISKU</v>
      </c>
      <c r="Q4" s="58"/>
      <c r="U4" s="489" t="str">
        <f>INDEX(W18:Y18,$P$2)</f>
        <v>Kontrola počtu zápasů</v>
      </c>
      <c r="V4" s="490"/>
      <c r="W4" s="111" t="s">
        <v>130</v>
      </c>
      <c r="X4" s="112" t="s">
        <v>131</v>
      </c>
      <c r="Y4" s="102" t="s">
        <v>132</v>
      </c>
    </row>
    <row r="5" spans="1:33" ht="16.05" customHeight="1" thickBot="1">
      <c r="A5" s="498"/>
      <c r="B5" s="500"/>
      <c r="C5" s="502"/>
      <c r="D5" s="488"/>
      <c r="E5" s="488"/>
      <c r="F5" s="504"/>
      <c r="G5" s="50" t="str">
        <f>INDEX(W12:Y12,$P$2)</f>
        <v>1.druž.</v>
      </c>
      <c r="H5" s="51" t="str">
        <f>INDEX(W13:Y13,$P$2)</f>
        <v>2.druž.</v>
      </c>
      <c r="I5" s="478"/>
      <c r="J5" s="479"/>
      <c r="K5" s="480"/>
      <c r="L5" s="484"/>
      <c r="M5" s="485"/>
      <c r="N5" s="486"/>
      <c r="P5" s="121" t="str">
        <f>INDEX(W17:Y17,$P$2)</f>
        <v>Nasazení družstev</v>
      </c>
      <c r="Q5" s="122"/>
      <c r="U5" s="491"/>
      <c r="V5" s="490"/>
      <c r="W5" t="s">
        <v>158</v>
      </c>
      <c r="X5" t="s">
        <v>168</v>
      </c>
      <c r="Y5" t="s">
        <v>159</v>
      </c>
      <c r="AA5" s="33"/>
      <c r="AB5" s="33"/>
    </row>
    <row r="6" spans="1:33" s="33" customFormat="1" ht="38.1" customHeight="1">
      <c r="A6" s="52" t="s">
        <v>8</v>
      </c>
      <c r="B6" s="53" t="s">
        <v>51</v>
      </c>
      <c r="C6" s="294" t="str">
        <f>Q7</f>
        <v>MILO Olomouc 2</v>
      </c>
      <c r="D6" s="295" t="s">
        <v>6</v>
      </c>
      <c r="E6" s="296" t="str">
        <f>Q8</f>
        <v>Sokol Zlín-Prštné 2</v>
      </c>
      <c r="F6" s="297" t="s">
        <v>174</v>
      </c>
      <c r="G6" s="298" t="s">
        <v>31</v>
      </c>
      <c r="H6" s="298" t="s">
        <v>32</v>
      </c>
      <c r="I6" s="281"/>
      <c r="J6" s="299" t="s">
        <v>6</v>
      </c>
      <c r="K6" s="300"/>
      <c r="L6" s="192">
        <v>5</v>
      </c>
      <c r="M6" s="193" t="s">
        <v>6</v>
      </c>
      <c r="N6" s="194">
        <v>0</v>
      </c>
      <c r="P6" s="381"/>
      <c r="Q6" s="55" t="s">
        <v>24</v>
      </c>
      <c r="R6" s="378"/>
      <c r="S6" s="56" t="s">
        <v>25</v>
      </c>
      <c r="T6"/>
      <c r="U6" s="123" t="s">
        <v>169</v>
      </c>
      <c r="V6" s="123" t="s">
        <v>170</v>
      </c>
      <c r="W6" t="s">
        <v>133</v>
      </c>
      <c r="X6" t="s">
        <v>134</v>
      </c>
      <c r="Y6" t="s">
        <v>135</v>
      </c>
    </row>
    <row r="7" spans="1:33" s="33" customFormat="1" ht="38.1" customHeight="1">
      <c r="A7" s="52" t="s">
        <v>9</v>
      </c>
      <c r="B7" s="54" t="s">
        <v>52</v>
      </c>
      <c r="C7" s="301" t="str">
        <f>S7</f>
        <v>Sokol Šitbořice 2</v>
      </c>
      <c r="D7" s="302" t="s">
        <v>6</v>
      </c>
      <c r="E7" s="303" t="str">
        <f>S8</f>
        <v>Sokol Šitbořice 3</v>
      </c>
      <c r="F7" s="297" t="s">
        <v>303</v>
      </c>
      <c r="G7" s="298" t="s">
        <v>31</v>
      </c>
      <c r="H7" s="298" t="s">
        <v>32</v>
      </c>
      <c r="I7" s="281">
        <v>3</v>
      </c>
      <c r="J7" s="299" t="s">
        <v>6</v>
      </c>
      <c r="K7" s="300">
        <v>0</v>
      </c>
      <c r="L7" s="192">
        <v>4</v>
      </c>
      <c r="M7" s="193" t="s">
        <v>6</v>
      </c>
      <c r="N7" s="194">
        <v>0</v>
      </c>
      <c r="P7" s="46">
        <v>1</v>
      </c>
      <c r="Q7" s="382" t="s">
        <v>254</v>
      </c>
      <c r="R7" s="47">
        <v>1</v>
      </c>
      <c r="S7" s="379" t="s">
        <v>255</v>
      </c>
      <c r="U7" s="109">
        <f>COUNTIF($C$6:$E$25,Q7)</f>
        <v>4</v>
      </c>
      <c r="V7" s="110">
        <f>COUNTIF($C$6:$E$25,S7)</f>
        <v>4</v>
      </c>
      <c r="W7" s="33" t="s">
        <v>160</v>
      </c>
      <c r="X7" s="33" t="s">
        <v>161</v>
      </c>
      <c r="Y7" s="33" t="s">
        <v>161</v>
      </c>
      <c r="Z7"/>
      <c r="AG7" s="375"/>
    </row>
    <row r="8" spans="1:33" s="33" customFormat="1" ht="38.1" customHeight="1">
      <c r="A8" s="52" t="s">
        <v>13</v>
      </c>
      <c r="B8" s="53" t="s">
        <v>51</v>
      </c>
      <c r="C8" s="294" t="str">
        <f>Q9</f>
        <v>Sokol Šitbořice 1</v>
      </c>
      <c r="D8" s="295" t="s">
        <v>6</v>
      </c>
      <c r="E8" s="296" t="str">
        <f>Q10</f>
        <v>Start Plzeň</v>
      </c>
      <c r="F8" s="297" t="s">
        <v>304</v>
      </c>
      <c r="G8" s="298" t="s">
        <v>31</v>
      </c>
      <c r="H8" s="298" t="s">
        <v>32</v>
      </c>
      <c r="I8" s="281">
        <v>2</v>
      </c>
      <c r="J8" s="299" t="s">
        <v>6</v>
      </c>
      <c r="K8" s="300">
        <v>1</v>
      </c>
      <c r="L8" s="192">
        <v>7</v>
      </c>
      <c r="M8" s="193" t="s">
        <v>6</v>
      </c>
      <c r="N8" s="194">
        <v>1</v>
      </c>
      <c r="P8" s="83">
        <v>2</v>
      </c>
      <c r="Q8" s="383" t="s">
        <v>271</v>
      </c>
      <c r="R8" s="84">
        <v>2</v>
      </c>
      <c r="S8" s="379" t="s">
        <v>257</v>
      </c>
      <c r="U8" s="109">
        <f>COUNTIF($C$6:$E$25,Q8)</f>
        <v>4</v>
      </c>
      <c r="V8" s="110">
        <f>COUNTIF($C$6:$E$25,S8)</f>
        <v>4</v>
      </c>
      <c r="W8" t="s">
        <v>26</v>
      </c>
      <c r="X8" t="s">
        <v>136</v>
      </c>
      <c r="Y8" t="s">
        <v>137</v>
      </c>
      <c r="Z8"/>
      <c r="AE8" s="374"/>
      <c r="AG8" s="375"/>
    </row>
    <row r="9" spans="1:33" s="33" customFormat="1" ht="38.1" customHeight="1">
      <c r="A9" s="52" t="s">
        <v>12</v>
      </c>
      <c r="B9" s="54" t="s">
        <v>52</v>
      </c>
      <c r="C9" s="301" t="str">
        <f>S9</f>
        <v>Spartak Chrastava</v>
      </c>
      <c r="D9" s="302" t="s">
        <v>6</v>
      </c>
      <c r="E9" s="303" t="str">
        <f>S10</f>
        <v>Sokol Zlín-Prštné 1</v>
      </c>
      <c r="F9" s="297" t="s">
        <v>305</v>
      </c>
      <c r="G9" s="298" t="s">
        <v>31</v>
      </c>
      <c r="H9" s="298" t="s">
        <v>32</v>
      </c>
      <c r="I9" s="281">
        <v>0</v>
      </c>
      <c r="J9" s="299" t="s">
        <v>6</v>
      </c>
      <c r="K9" s="300">
        <v>6</v>
      </c>
      <c r="L9" s="192">
        <v>0</v>
      </c>
      <c r="M9" s="193" t="s">
        <v>6</v>
      </c>
      <c r="N9" s="194">
        <v>13</v>
      </c>
      <c r="P9" s="83">
        <v>3</v>
      </c>
      <c r="Q9" s="382" t="s">
        <v>249</v>
      </c>
      <c r="R9" s="357">
        <v>3</v>
      </c>
      <c r="S9" s="380" t="s">
        <v>251</v>
      </c>
      <c r="U9" s="109">
        <f>COUNTIF($C$6:$E$25,Q9)</f>
        <v>4</v>
      </c>
      <c r="V9" s="110">
        <f>COUNTIF($C$6:$E$25,S9)</f>
        <v>4</v>
      </c>
      <c r="W9" t="s">
        <v>27</v>
      </c>
      <c r="X9" t="s">
        <v>138</v>
      </c>
      <c r="Y9" t="s">
        <v>139</v>
      </c>
      <c r="Z9"/>
      <c r="AE9" s="374"/>
      <c r="AG9" s="373"/>
    </row>
    <row r="10" spans="1:33" s="33" customFormat="1" ht="38.1" customHeight="1">
      <c r="A10" s="52" t="s">
        <v>10</v>
      </c>
      <c r="B10" s="53" t="s">
        <v>51</v>
      </c>
      <c r="C10" s="294" t="str">
        <f>Q7</f>
        <v>MILO Olomouc 2</v>
      </c>
      <c r="D10" s="295" t="s">
        <v>6</v>
      </c>
      <c r="E10" s="296" t="str">
        <f>Q11</f>
        <v>Liberec - Chrastava</v>
      </c>
      <c r="F10" s="297" t="s">
        <v>303</v>
      </c>
      <c r="G10" s="298" t="s">
        <v>31</v>
      </c>
      <c r="H10" s="298" t="s">
        <v>32</v>
      </c>
      <c r="I10" s="281">
        <v>0</v>
      </c>
      <c r="J10" s="299" t="s">
        <v>6</v>
      </c>
      <c r="K10" s="300">
        <v>1</v>
      </c>
      <c r="L10" s="192">
        <v>0</v>
      </c>
      <c r="M10" s="193" t="s">
        <v>6</v>
      </c>
      <c r="N10" s="194">
        <v>2</v>
      </c>
      <c r="P10" s="83">
        <v>4</v>
      </c>
      <c r="Q10" s="383" t="s">
        <v>270</v>
      </c>
      <c r="R10" s="357">
        <v>4</v>
      </c>
      <c r="S10" s="380" t="s">
        <v>272</v>
      </c>
      <c r="U10" s="109">
        <f>COUNTIF($C$6:$E$25,Q10)</f>
        <v>4</v>
      </c>
      <c r="V10" s="110">
        <f>COUNTIF($C$6:$E$25,S10)</f>
        <v>4</v>
      </c>
      <c r="W10" t="s">
        <v>2</v>
      </c>
      <c r="X10" s="103" t="s">
        <v>86</v>
      </c>
      <c r="Y10" s="103" t="s">
        <v>140</v>
      </c>
      <c r="Z10"/>
      <c r="AE10" s="374"/>
      <c r="AG10" s="373"/>
    </row>
    <row r="11" spans="1:33" s="33" customFormat="1" ht="38.1" customHeight="1">
      <c r="A11" s="52" t="s">
        <v>11</v>
      </c>
      <c r="B11" s="54" t="s">
        <v>52</v>
      </c>
      <c r="C11" s="301" t="str">
        <f>S7</f>
        <v>Sokol Šitbořice 2</v>
      </c>
      <c r="D11" s="302" t="s">
        <v>6</v>
      </c>
      <c r="E11" s="303" t="str">
        <f>S11</f>
        <v>MILO Olomouc 1</v>
      </c>
      <c r="F11" s="297" t="s">
        <v>304</v>
      </c>
      <c r="G11" s="298" t="s">
        <v>31</v>
      </c>
      <c r="H11" s="298" t="s">
        <v>32</v>
      </c>
      <c r="I11" s="281">
        <v>2</v>
      </c>
      <c r="J11" s="299" t="s">
        <v>6</v>
      </c>
      <c r="K11" s="300">
        <v>2</v>
      </c>
      <c r="L11" s="192">
        <v>5</v>
      </c>
      <c r="M11" s="193" t="s">
        <v>6</v>
      </c>
      <c r="N11" s="194">
        <v>4</v>
      </c>
      <c r="P11" s="83">
        <v>5</v>
      </c>
      <c r="Q11" s="382" t="s">
        <v>252</v>
      </c>
      <c r="R11" s="84">
        <v>5</v>
      </c>
      <c r="S11" s="379" t="s">
        <v>253</v>
      </c>
      <c r="U11" s="109">
        <f>COUNTIF($C$6:$E$25,Q11)</f>
        <v>4</v>
      </c>
      <c r="V11" s="110">
        <f>COUNTIF($C$6:$E$25,S11)</f>
        <v>4</v>
      </c>
      <c r="W11" t="s">
        <v>28</v>
      </c>
      <c r="X11" t="s">
        <v>141</v>
      </c>
      <c r="Y11" t="s">
        <v>142</v>
      </c>
      <c r="Z11"/>
      <c r="AG11" s="375"/>
    </row>
    <row r="12" spans="1:33" s="33" customFormat="1" ht="38.1" customHeight="1">
      <c r="A12" s="52" t="s">
        <v>14</v>
      </c>
      <c r="B12" s="53" t="s">
        <v>51</v>
      </c>
      <c r="C12" s="294" t="str">
        <f>Q8</f>
        <v>Sokol Zlín-Prštné 2</v>
      </c>
      <c r="D12" s="295" t="s">
        <v>6</v>
      </c>
      <c r="E12" s="296" t="str">
        <f>Q9</f>
        <v>Sokol Šitbořice 1</v>
      </c>
      <c r="F12" s="297" t="s">
        <v>174</v>
      </c>
      <c r="G12" s="298" t="s">
        <v>31</v>
      </c>
      <c r="H12" s="298" t="s">
        <v>32</v>
      </c>
      <c r="I12" s="281"/>
      <c r="J12" s="299" t="s">
        <v>6</v>
      </c>
      <c r="K12" s="300"/>
      <c r="L12" s="192">
        <v>0</v>
      </c>
      <c r="M12" s="193" t="s">
        <v>6</v>
      </c>
      <c r="N12" s="194">
        <v>5</v>
      </c>
      <c r="Q12" s="474" t="s">
        <v>260</v>
      </c>
      <c r="R12" s="474"/>
      <c r="S12" s="474"/>
      <c r="W12" t="s">
        <v>29</v>
      </c>
      <c r="X12" t="s">
        <v>143</v>
      </c>
      <c r="Y12" t="s">
        <v>137</v>
      </c>
      <c r="Z12"/>
    </row>
    <row r="13" spans="1:33" s="33" customFormat="1" ht="38.1" customHeight="1">
      <c r="A13" s="52" t="s">
        <v>15</v>
      </c>
      <c r="B13" s="54" t="s">
        <v>52</v>
      </c>
      <c r="C13" s="301" t="str">
        <f>S8</f>
        <v>Sokol Šitbořice 3</v>
      </c>
      <c r="D13" s="302" t="s">
        <v>6</v>
      </c>
      <c r="E13" s="303" t="str">
        <f>S9</f>
        <v>Spartak Chrastava</v>
      </c>
      <c r="F13" s="297" t="s">
        <v>305</v>
      </c>
      <c r="G13" s="298" t="s">
        <v>31</v>
      </c>
      <c r="H13" s="298" t="s">
        <v>32</v>
      </c>
      <c r="I13" s="281">
        <v>0</v>
      </c>
      <c r="J13" s="299" t="s">
        <v>6</v>
      </c>
      <c r="K13" s="300">
        <v>2</v>
      </c>
      <c r="L13" s="192">
        <v>2</v>
      </c>
      <c r="M13" s="193" t="s">
        <v>6</v>
      </c>
      <c r="N13" s="194">
        <v>2</v>
      </c>
      <c r="P13" s="163"/>
      <c r="Q13" s="347" t="s">
        <v>258</v>
      </c>
      <c r="R13" s="313"/>
      <c r="S13" s="313" t="s">
        <v>259</v>
      </c>
      <c r="W13" t="s">
        <v>30</v>
      </c>
      <c r="X13" t="s">
        <v>144</v>
      </c>
      <c r="Y13" t="s">
        <v>139</v>
      </c>
      <c r="Z13"/>
    </row>
    <row r="14" spans="1:33" s="33" customFormat="1" ht="38.1" customHeight="1">
      <c r="A14" s="52" t="s">
        <v>16</v>
      </c>
      <c r="B14" s="53" t="s">
        <v>51</v>
      </c>
      <c r="C14" s="294" t="str">
        <f>Q10</f>
        <v>Start Plzeň</v>
      </c>
      <c r="D14" s="295" t="s">
        <v>6</v>
      </c>
      <c r="E14" s="296" t="str">
        <f>Q11</f>
        <v>Liberec - Chrastava</v>
      </c>
      <c r="F14" s="297" t="s">
        <v>303</v>
      </c>
      <c r="G14" s="298" t="s">
        <v>31</v>
      </c>
      <c r="H14" s="298" t="s">
        <v>32</v>
      </c>
      <c r="I14" s="281">
        <v>1</v>
      </c>
      <c r="J14" s="299" t="s">
        <v>6</v>
      </c>
      <c r="K14" s="300">
        <v>2</v>
      </c>
      <c r="L14" s="192">
        <v>3</v>
      </c>
      <c r="M14" s="193" t="s">
        <v>6</v>
      </c>
      <c r="N14" s="194">
        <v>5</v>
      </c>
      <c r="P14" s="319" t="s">
        <v>8</v>
      </c>
      <c r="Q14" s="376" t="s">
        <v>263</v>
      </c>
      <c r="R14" s="319" t="s">
        <v>8</v>
      </c>
      <c r="S14" s="376" t="s">
        <v>249</v>
      </c>
      <c r="W14" s="358" t="s">
        <v>20</v>
      </c>
      <c r="X14" s="358" t="s">
        <v>145</v>
      </c>
      <c r="Y14" t="s">
        <v>146</v>
      </c>
    </row>
    <row r="15" spans="1:33" s="33" customFormat="1" ht="38.1" customHeight="1">
      <c r="A15" s="52" t="s">
        <v>18</v>
      </c>
      <c r="B15" s="54" t="s">
        <v>52</v>
      </c>
      <c r="C15" s="301" t="str">
        <f>S10</f>
        <v>Sokol Zlín-Prštné 1</v>
      </c>
      <c r="D15" s="302" t="s">
        <v>6</v>
      </c>
      <c r="E15" s="303" t="str">
        <f>S11</f>
        <v>MILO Olomouc 1</v>
      </c>
      <c r="F15" s="297" t="s">
        <v>304</v>
      </c>
      <c r="G15" s="298" t="s">
        <v>31</v>
      </c>
      <c r="H15" s="298" t="s">
        <v>32</v>
      </c>
      <c r="I15" s="281">
        <v>2</v>
      </c>
      <c r="J15" s="299" t="s">
        <v>6</v>
      </c>
      <c r="K15" s="300">
        <v>0</v>
      </c>
      <c r="L15" s="192">
        <v>4</v>
      </c>
      <c r="M15" s="193" t="s">
        <v>6</v>
      </c>
      <c r="N15" s="194">
        <v>0</v>
      </c>
      <c r="P15" s="319">
        <v>2</v>
      </c>
      <c r="Q15" s="377" t="s">
        <v>251</v>
      </c>
      <c r="R15" s="319" t="s">
        <v>9</v>
      </c>
      <c r="S15" s="377" t="s">
        <v>255</v>
      </c>
      <c r="W15" s="358" t="s">
        <v>21</v>
      </c>
      <c r="X15" s="103" t="s">
        <v>97</v>
      </c>
      <c r="Y15" s="103" t="s">
        <v>98</v>
      </c>
    </row>
    <row r="16" spans="1:33" s="33" customFormat="1" ht="38.1" customHeight="1">
      <c r="A16" s="52" t="s">
        <v>19</v>
      </c>
      <c r="B16" s="53" t="s">
        <v>51</v>
      </c>
      <c r="C16" s="294" t="str">
        <f>Q7</f>
        <v>MILO Olomouc 2</v>
      </c>
      <c r="D16" s="295" t="s">
        <v>6</v>
      </c>
      <c r="E16" s="296" t="str">
        <f>Q9</f>
        <v>Sokol Šitbořice 1</v>
      </c>
      <c r="F16" s="297" t="s">
        <v>303</v>
      </c>
      <c r="G16" s="298" t="s">
        <v>31</v>
      </c>
      <c r="H16" s="298" t="s">
        <v>32</v>
      </c>
      <c r="I16" s="281">
        <v>1</v>
      </c>
      <c r="J16" s="299" t="s">
        <v>6</v>
      </c>
      <c r="K16" s="300">
        <v>1</v>
      </c>
      <c r="L16" s="192">
        <v>2</v>
      </c>
      <c r="M16" s="193" t="s">
        <v>6</v>
      </c>
      <c r="N16" s="194">
        <v>4</v>
      </c>
      <c r="P16" s="319" t="s">
        <v>13</v>
      </c>
      <c r="Q16" s="377" t="s">
        <v>252</v>
      </c>
      <c r="R16" s="319" t="s">
        <v>13</v>
      </c>
      <c r="S16" s="377" t="s">
        <v>267</v>
      </c>
      <c r="W16" s="358" t="s">
        <v>41</v>
      </c>
      <c r="X16" s="358" t="s">
        <v>65</v>
      </c>
      <c r="Y16" s="358" t="s">
        <v>66</v>
      </c>
    </row>
    <row r="17" spans="1:27" s="33" customFormat="1" ht="38.1" customHeight="1">
      <c r="A17" s="52" t="s">
        <v>17</v>
      </c>
      <c r="B17" s="54" t="s">
        <v>52</v>
      </c>
      <c r="C17" s="301" t="str">
        <f>S7</f>
        <v>Sokol Šitbořice 2</v>
      </c>
      <c r="D17" s="302" t="s">
        <v>6</v>
      </c>
      <c r="E17" s="303" t="str">
        <f>S9</f>
        <v>Spartak Chrastava</v>
      </c>
      <c r="F17" s="297" t="s">
        <v>305</v>
      </c>
      <c r="G17" s="298" t="s">
        <v>31</v>
      </c>
      <c r="H17" s="298" t="s">
        <v>32</v>
      </c>
      <c r="I17" s="281">
        <v>6</v>
      </c>
      <c r="J17" s="299" t="s">
        <v>6</v>
      </c>
      <c r="K17" s="300">
        <v>0</v>
      </c>
      <c r="L17" s="192">
        <v>13</v>
      </c>
      <c r="M17" s="193" t="s">
        <v>6</v>
      </c>
      <c r="N17" s="194">
        <v>0</v>
      </c>
      <c r="P17" s="319" t="s">
        <v>12</v>
      </c>
      <c r="Q17" s="314" t="s">
        <v>264</v>
      </c>
      <c r="R17" s="319" t="s">
        <v>12</v>
      </c>
      <c r="S17" s="377" t="s">
        <v>253</v>
      </c>
      <c r="W17" s="358" t="s">
        <v>292</v>
      </c>
      <c r="X17" s="358" t="s">
        <v>293</v>
      </c>
      <c r="Y17" s="358" t="s">
        <v>294</v>
      </c>
    </row>
    <row r="18" spans="1:27" s="33" customFormat="1" ht="38.1" customHeight="1">
      <c r="A18" s="52" t="s">
        <v>33</v>
      </c>
      <c r="B18" s="53" t="s">
        <v>51</v>
      </c>
      <c r="C18" s="294" t="str">
        <f>Q8</f>
        <v>Sokol Zlín-Prštné 2</v>
      </c>
      <c r="D18" s="295" t="s">
        <v>6</v>
      </c>
      <c r="E18" s="296" t="str">
        <f>Q10</f>
        <v>Start Plzeň</v>
      </c>
      <c r="F18" s="297" t="s">
        <v>174</v>
      </c>
      <c r="G18" s="298" t="s">
        <v>31</v>
      </c>
      <c r="H18" s="298" t="s">
        <v>32</v>
      </c>
      <c r="I18" s="281"/>
      <c r="J18" s="299" t="s">
        <v>6</v>
      </c>
      <c r="K18" s="300"/>
      <c r="L18" s="192">
        <v>0</v>
      </c>
      <c r="M18" s="193" t="s">
        <v>6</v>
      </c>
      <c r="N18" s="194">
        <v>5</v>
      </c>
      <c r="P18" s="320" t="s">
        <v>10</v>
      </c>
      <c r="Q18" s="315" t="s">
        <v>265</v>
      </c>
      <c r="R18" s="319" t="s">
        <v>10</v>
      </c>
      <c r="S18" s="376" t="s">
        <v>254</v>
      </c>
      <c r="W18" s="358" t="s">
        <v>295</v>
      </c>
      <c r="X18" s="358" t="s">
        <v>296</v>
      </c>
      <c r="Y18" s="358" t="s">
        <v>297</v>
      </c>
    </row>
    <row r="19" spans="1:27" s="33" customFormat="1" ht="38.1" customHeight="1">
      <c r="A19" s="52" t="s">
        <v>34</v>
      </c>
      <c r="B19" s="54" t="s">
        <v>52</v>
      </c>
      <c r="C19" s="301" t="str">
        <f>S8</f>
        <v>Sokol Šitbořice 3</v>
      </c>
      <c r="D19" s="302" t="s">
        <v>6</v>
      </c>
      <c r="E19" s="303" t="str">
        <f>S10</f>
        <v>Sokol Zlín-Prštné 1</v>
      </c>
      <c r="F19" s="297" t="s">
        <v>304</v>
      </c>
      <c r="G19" s="298" t="s">
        <v>31</v>
      </c>
      <c r="H19" s="298" t="s">
        <v>32</v>
      </c>
      <c r="I19" s="281">
        <v>0</v>
      </c>
      <c r="J19" s="299" t="s">
        <v>6</v>
      </c>
      <c r="K19" s="300">
        <v>3</v>
      </c>
      <c r="L19" s="192">
        <v>0</v>
      </c>
      <c r="M19" s="193" t="s">
        <v>6</v>
      </c>
      <c r="N19" s="194">
        <v>8</v>
      </c>
      <c r="P19" s="320" t="s">
        <v>11</v>
      </c>
      <c r="Q19" s="315" t="s">
        <v>266</v>
      </c>
      <c r="R19" s="319" t="s">
        <v>11</v>
      </c>
      <c r="S19" s="376" t="s">
        <v>257</v>
      </c>
    </row>
    <row r="20" spans="1:27" s="33" customFormat="1" ht="38.1" customHeight="1">
      <c r="A20" s="52" t="s">
        <v>35</v>
      </c>
      <c r="B20" s="53" t="s">
        <v>51</v>
      </c>
      <c r="C20" s="294" t="str">
        <f>Q9</f>
        <v>Sokol Šitbořice 1</v>
      </c>
      <c r="D20" s="295" t="s">
        <v>6</v>
      </c>
      <c r="E20" s="296" t="str">
        <f>Q11</f>
        <v>Liberec - Chrastava</v>
      </c>
      <c r="F20" s="297" t="s">
        <v>305</v>
      </c>
      <c r="G20" s="298" t="s">
        <v>31</v>
      </c>
      <c r="H20" s="298" t="s">
        <v>32</v>
      </c>
      <c r="I20" s="281">
        <v>3</v>
      </c>
      <c r="J20" s="299" t="s">
        <v>6</v>
      </c>
      <c r="K20" s="300">
        <v>1</v>
      </c>
      <c r="L20" s="192">
        <v>6</v>
      </c>
      <c r="M20" s="193" t="s">
        <v>6</v>
      </c>
      <c r="N20" s="194">
        <v>1</v>
      </c>
      <c r="Q20" s="163"/>
      <c r="R20" s="319" t="s">
        <v>14</v>
      </c>
      <c r="S20" s="376" t="s">
        <v>268</v>
      </c>
    </row>
    <row r="21" spans="1:27" s="33" customFormat="1" ht="38.1" customHeight="1">
      <c r="A21" s="52" t="s">
        <v>36</v>
      </c>
      <c r="B21" s="54" t="s">
        <v>52</v>
      </c>
      <c r="C21" s="141" t="str">
        <f>S9</f>
        <v>Spartak Chrastava</v>
      </c>
      <c r="D21" s="145" t="s">
        <v>6</v>
      </c>
      <c r="E21" s="143" t="str">
        <f>S11</f>
        <v>MILO Olomouc 1</v>
      </c>
      <c r="F21" s="297" t="s">
        <v>303</v>
      </c>
      <c r="G21" s="91" t="s">
        <v>31</v>
      </c>
      <c r="H21" s="91" t="s">
        <v>32</v>
      </c>
      <c r="I21" s="155">
        <v>1</v>
      </c>
      <c r="J21" s="156" t="s">
        <v>6</v>
      </c>
      <c r="K21" s="157">
        <v>6</v>
      </c>
      <c r="L21" s="192">
        <v>1</v>
      </c>
      <c r="M21" s="193" t="s">
        <v>6</v>
      </c>
      <c r="N21" s="194">
        <v>9</v>
      </c>
      <c r="R21" s="319" t="s">
        <v>15</v>
      </c>
      <c r="S21" s="314" t="s">
        <v>256</v>
      </c>
    </row>
    <row r="22" spans="1:27" s="33" customFormat="1" ht="38.1" customHeight="1">
      <c r="A22" s="52" t="s">
        <v>37</v>
      </c>
      <c r="B22" s="53" t="s">
        <v>51</v>
      </c>
      <c r="C22" s="140" t="str">
        <f>Q7</f>
        <v>MILO Olomouc 2</v>
      </c>
      <c r="D22" s="144" t="s">
        <v>6</v>
      </c>
      <c r="E22" s="142" t="str">
        <f>Q10</f>
        <v>Start Plzeň</v>
      </c>
      <c r="F22" s="297" t="s">
        <v>304</v>
      </c>
      <c r="G22" s="91" t="s">
        <v>31</v>
      </c>
      <c r="H22" s="91" t="s">
        <v>32</v>
      </c>
      <c r="I22" s="155">
        <v>1</v>
      </c>
      <c r="J22" s="156" t="s">
        <v>6</v>
      </c>
      <c r="K22" s="157">
        <v>3</v>
      </c>
      <c r="L22" s="192">
        <v>1</v>
      </c>
      <c r="M22" s="193" t="s">
        <v>6</v>
      </c>
      <c r="N22" s="194">
        <v>3</v>
      </c>
      <c r="R22" s="319" t="s">
        <v>16</v>
      </c>
      <c r="S22" s="314" t="s">
        <v>269</v>
      </c>
    </row>
    <row r="23" spans="1:27" s="33" customFormat="1" ht="38.1" customHeight="1">
      <c r="A23" s="52" t="s">
        <v>38</v>
      </c>
      <c r="B23" s="54" t="s">
        <v>52</v>
      </c>
      <c r="C23" s="141" t="str">
        <f>S7</f>
        <v>Sokol Šitbořice 2</v>
      </c>
      <c r="D23" s="145" t="s">
        <v>6</v>
      </c>
      <c r="E23" s="143" t="str">
        <f>S10</f>
        <v>Sokol Zlín-Prštné 1</v>
      </c>
      <c r="F23" s="297" t="s">
        <v>305</v>
      </c>
      <c r="G23" s="91" t="s">
        <v>31</v>
      </c>
      <c r="H23" s="91" t="s">
        <v>32</v>
      </c>
      <c r="I23" s="155">
        <v>2</v>
      </c>
      <c r="J23" s="156" t="s">
        <v>6</v>
      </c>
      <c r="K23" s="157">
        <v>0</v>
      </c>
      <c r="L23" s="192">
        <v>2</v>
      </c>
      <c r="M23" s="193" t="s">
        <v>6</v>
      </c>
      <c r="N23" s="194">
        <v>1</v>
      </c>
    </row>
    <row r="24" spans="1:27" s="33" customFormat="1" ht="38.1" customHeight="1">
      <c r="A24" s="52" t="s">
        <v>39</v>
      </c>
      <c r="B24" s="53" t="s">
        <v>51</v>
      </c>
      <c r="C24" s="140" t="str">
        <f>Q8</f>
        <v>Sokol Zlín-Prštné 2</v>
      </c>
      <c r="D24" s="144" t="s">
        <v>6</v>
      </c>
      <c r="E24" s="142" t="str">
        <f>Q11</f>
        <v>Liberec - Chrastava</v>
      </c>
      <c r="F24" s="297" t="s">
        <v>174</v>
      </c>
      <c r="G24" s="91" t="s">
        <v>31</v>
      </c>
      <c r="H24" s="91" t="s">
        <v>32</v>
      </c>
      <c r="I24" s="155"/>
      <c r="J24" s="156" t="s">
        <v>6</v>
      </c>
      <c r="K24" s="157"/>
      <c r="L24" s="192">
        <v>0</v>
      </c>
      <c r="M24" s="193" t="s">
        <v>6</v>
      </c>
      <c r="N24" s="194">
        <v>5</v>
      </c>
      <c r="R24" s="319"/>
    </row>
    <row r="25" spans="1:27" s="33" customFormat="1" ht="38.1" customHeight="1">
      <c r="A25" s="52" t="s">
        <v>40</v>
      </c>
      <c r="B25" s="54" t="s">
        <v>52</v>
      </c>
      <c r="C25" s="141" t="str">
        <f>S8</f>
        <v>Sokol Šitbořice 3</v>
      </c>
      <c r="D25" s="145" t="s">
        <v>6</v>
      </c>
      <c r="E25" s="143" t="str">
        <f>S11</f>
        <v>MILO Olomouc 1</v>
      </c>
      <c r="F25" s="297" t="s">
        <v>303</v>
      </c>
      <c r="G25" s="91" t="s">
        <v>31</v>
      </c>
      <c r="H25" s="91" t="s">
        <v>32</v>
      </c>
      <c r="I25" s="155">
        <v>0</v>
      </c>
      <c r="J25" s="156" t="s">
        <v>6</v>
      </c>
      <c r="K25" s="157">
        <v>6</v>
      </c>
      <c r="L25" s="192">
        <v>0</v>
      </c>
      <c r="M25" s="193" t="s">
        <v>6</v>
      </c>
      <c r="N25" s="194">
        <v>15</v>
      </c>
      <c r="R25" s="319"/>
    </row>
    <row r="26" spans="1:27" ht="13.8">
      <c r="F26" s="269"/>
      <c r="G26" s="269"/>
      <c r="I26"/>
      <c r="J26"/>
      <c r="K26"/>
      <c r="L26"/>
      <c r="M26"/>
      <c r="N26"/>
    </row>
    <row r="27" spans="1:27" ht="13.8">
      <c r="F27" s="269"/>
      <c r="G27" s="269"/>
      <c r="I27"/>
      <c r="J27"/>
      <c r="K27"/>
      <c r="L27"/>
      <c r="M27"/>
      <c r="N27"/>
    </row>
    <row r="28" spans="1:27" ht="13.8">
      <c r="F28" s="269"/>
      <c r="G28" s="269"/>
      <c r="H28" s="269"/>
    </row>
    <row r="29" spans="1:27" ht="31.8" customHeight="1">
      <c r="A29" s="292" t="str">
        <f>INDEX(W29:Y29,$P$2)</f>
        <v>Utkání o umístění, semifinále a finále</v>
      </c>
      <c r="F29" s="2"/>
      <c r="G29" s="2"/>
      <c r="H29" s="2"/>
      <c r="I29" s="179"/>
      <c r="J29" s="179"/>
      <c r="K29" s="179"/>
      <c r="L29" s="179"/>
      <c r="M29" s="179"/>
      <c r="N29" s="179"/>
      <c r="O29" s="180"/>
      <c r="W29" s="103" t="s">
        <v>151</v>
      </c>
      <c r="X29" s="103" t="s">
        <v>155</v>
      </c>
      <c r="Y29" s="103" t="s">
        <v>156</v>
      </c>
      <c r="Z29" s="102"/>
      <c r="AA29" s="39"/>
    </row>
    <row r="30" spans="1:27" s="180" customFormat="1" ht="13.05" customHeight="1">
      <c r="A30" s="181"/>
      <c r="B30" s="182"/>
      <c r="C30" s="183" t="str">
        <f>INDEX(W30:Y30,$P$2)</f>
        <v>Utkání o 9. a 10. místo  5.A - 5.B</v>
      </c>
      <c r="D30" s="184"/>
      <c r="E30" s="185"/>
      <c r="F30" s="186"/>
      <c r="G30" s="187"/>
      <c r="H30" s="187"/>
      <c r="I30" s="188"/>
      <c r="J30" s="188"/>
      <c r="K30" s="188"/>
      <c r="L30" s="188"/>
      <c r="M30" s="188"/>
      <c r="N30" s="188"/>
      <c r="W30" s="221" t="s">
        <v>183</v>
      </c>
      <c r="X30" s="221" t="s">
        <v>184</v>
      </c>
      <c r="Y30" s="221" t="s">
        <v>185</v>
      </c>
      <c r="Z30" s="221"/>
      <c r="AA30" s="263"/>
    </row>
    <row r="31" spans="1:27" s="33" customFormat="1" ht="37.950000000000003" customHeight="1">
      <c r="A31" s="52" t="s">
        <v>56</v>
      </c>
      <c r="B31" s="189" t="s">
        <v>201</v>
      </c>
      <c r="C31" s="213" t="str">
        <f>IF('Protokol 10 Teams_2x5'!B53="","",'Protokol 10 Teams_2x5'!B53)</f>
        <v>Sokol Zlín-Prštné 2</v>
      </c>
      <c r="D31" s="214" t="s">
        <v>6</v>
      </c>
      <c r="E31" s="213" t="str">
        <f>IF('Protokol 10 Teams_2x5'!D53="","",'Protokol 10 Teams_2x5'!D53)</f>
        <v>Spartak Chrastava</v>
      </c>
      <c r="F31" s="297" t="s">
        <v>174</v>
      </c>
      <c r="G31" s="191" t="s">
        <v>31</v>
      </c>
      <c r="H31" s="191" t="s">
        <v>32</v>
      </c>
      <c r="I31" s="192"/>
      <c r="J31" s="193" t="s">
        <v>6</v>
      </c>
      <c r="K31" s="194"/>
      <c r="L31" s="192">
        <v>0</v>
      </c>
      <c r="M31" s="193" t="s">
        <v>6</v>
      </c>
      <c r="N31" s="194">
        <v>5</v>
      </c>
      <c r="P31" s="305" t="s">
        <v>230</v>
      </c>
      <c r="Q31" s="289"/>
    </row>
    <row r="32" spans="1:27" s="33" customFormat="1" ht="16.95" customHeight="1">
      <c r="A32" s="195"/>
      <c r="B32" s="196"/>
      <c r="C32" s="197"/>
      <c r="D32" s="198"/>
      <c r="E32" s="199"/>
      <c r="F32" s="200" t="str">
        <f>INDEX(W32:Y32,$P$2)</f>
        <v>4M údery a konečný výsledek</v>
      </c>
      <c r="G32" s="191"/>
      <c r="H32" s="191"/>
      <c r="I32" s="281"/>
      <c r="J32" s="193" t="s">
        <v>6</v>
      </c>
      <c r="K32" s="194"/>
      <c r="L32" s="283" t="str">
        <f>IF(I32="","",IF(I32&gt;K32,L31+1,L31))</f>
        <v/>
      </c>
      <c r="M32" s="284" t="s">
        <v>6</v>
      </c>
      <c r="N32" s="285" t="str">
        <f>IF(K32="","",IF(K32&gt;I32,N31+1,N31))</f>
        <v/>
      </c>
      <c r="P32" s="290" t="s">
        <v>231</v>
      </c>
      <c r="Q32" s="289"/>
      <c r="W32" s="253" t="s">
        <v>220</v>
      </c>
      <c r="X32" s="221" t="s">
        <v>221</v>
      </c>
      <c r="Y32" s="221" t="s">
        <v>222</v>
      </c>
    </row>
    <row r="33" spans="1:27" s="180" customFormat="1" ht="13.05" customHeight="1">
      <c r="A33" s="181"/>
      <c r="B33" s="182"/>
      <c r="C33" s="201" t="str">
        <f>INDEX(W33:Y33,$P$2)</f>
        <v>1.Semifinále 1.A - 2.B</v>
      </c>
      <c r="D33" s="184"/>
      <c r="E33" s="185"/>
      <c r="F33" s="202"/>
      <c r="G33" s="203"/>
      <c r="H33" s="203"/>
      <c r="I33" s="193"/>
      <c r="J33" s="193"/>
      <c r="K33" s="193"/>
      <c r="L33" s="193"/>
      <c r="M33" s="193"/>
      <c r="N33" s="193"/>
      <c r="P33" s="291"/>
      <c r="Q33" s="291"/>
      <c r="W33" s="223" t="s">
        <v>152</v>
      </c>
      <c r="X33" s="223" t="s">
        <v>167</v>
      </c>
      <c r="Y33" s="223" t="s">
        <v>164</v>
      </c>
      <c r="Z33" s="221"/>
    </row>
    <row r="34" spans="1:27" s="33" customFormat="1" ht="37.950000000000003" customHeight="1">
      <c r="A34" s="52" t="s">
        <v>57</v>
      </c>
      <c r="B34" s="204" t="s">
        <v>182</v>
      </c>
      <c r="C34" s="215" t="str">
        <f>IF('Protokol 10 Teams_2x5'!B57="","",'Protokol 10 Teams_2x5'!B57)</f>
        <v>Sokol Šitbořice 1</v>
      </c>
      <c r="D34" s="214" t="s">
        <v>6</v>
      </c>
      <c r="E34" s="215" t="str">
        <f>IF('Protokol 10 Teams_2x5'!D57="","",'Protokol 10 Teams_2x5'!D57)</f>
        <v>Sokol Zlín-Prštné 1</v>
      </c>
      <c r="F34" s="297" t="s">
        <v>304</v>
      </c>
      <c r="G34" s="191" t="s">
        <v>31</v>
      </c>
      <c r="H34" s="191" t="s">
        <v>32</v>
      </c>
      <c r="I34" s="192">
        <v>2</v>
      </c>
      <c r="J34" s="193" t="s">
        <v>6</v>
      </c>
      <c r="K34" s="194">
        <v>1</v>
      </c>
      <c r="L34" s="192">
        <v>3</v>
      </c>
      <c r="M34" s="193" t="s">
        <v>6</v>
      </c>
      <c r="N34" s="194">
        <v>4</v>
      </c>
      <c r="P34" s="305" t="s">
        <v>230</v>
      </c>
      <c r="Q34" s="289"/>
    </row>
    <row r="35" spans="1:27" s="33" customFormat="1" ht="16.95" customHeight="1">
      <c r="A35" s="195"/>
      <c r="B35" s="196"/>
      <c r="C35" s="197"/>
      <c r="D35" s="198"/>
      <c r="E35" s="199"/>
      <c r="F35" s="200" t="str">
        <f>INDEX(W32:Y32,$P$2)</f>
        <v>4M údery a konečný výsledek</v>
      </c>
      <c r="G35" s="191"/>
      <c r="H35" s="191"/>
      <c r="I35" s="281"/>
      <c r="J35" s="193" t="s">
        <v>6</v>
      </c>
      <c r="K35" s="194"/>
      <c r="L35" s="283" t="str">
        <f>IF(I35="","",IF(I35&gt;K35,L34+1,L34))</f>
        <v/>
      </c>
      <c r="M35" s="284" t="s">
        <v>6</v>
      </c>
      <c r="N35" s="285" t="str">
        <f>IF(K35="","",IF(K35&gt;I35,N34+1,N34))</f>
        <v/>
      </c>
      <c r="P35" s="290" t="s">
        <v>231</v>
      </c>
      <c r="Q35" s="289"/>
    </row>
    <row r="36" spans="1:27" s="180" customFormat="1" ht="13.05" customHeight="1">
      <c r="A36" s="181"/>
      <c r="B36" s="182"/>
      <c r="C36" s="183" t="str">
        <f>INDEX(W36:Y36,$P$2)</f>
        <v>Utkání o 7. a 8. místo  4.A - 4.B</v>
      </c>
      <c r="D36" s="184"/>
      <c r="E36" s="185"/>
      <c r="F36" s="202"/>
      <c r="G36" s="203"/>
      <c r="H36" s="203"/>
      <c r="I36" s="193"/>
      <c r="J36" s="193"/>
      <c r="K36" s="193"/>
      <c r="L36" s="193"/>
      <c r="M36" s="193"/>
      <c r="N36" s="193"/>
      <c r="P36" s="291"/>
      <c r="Q36" s="291"/>
      <c r="W36" s="221" t="s">
        <v>186</v>
      </c>
      <c r="X36" s="221" t="s">
        <v>187</v>
      </c>
      <c r="Y36" s="221" t="s">
        <v>188</v>
      </c>
      <c r="Z36" s="221"/>
      <c r="AA36" s="39"/>
    </row>
    <row r="37" spans="1:27" s="33" customFormat="1" ht="37.950000000000003" customHeight="1">
      <c r="A37" s="52" t="s">
        <v>58</v>
      </c>
      <c r="B37" s="189" t="s">
        <v>202</v>
      </c>
      <c r="C37" s="213" t="str">
        <f>IF('Protokol 10 Teams_2x5'!B61="","",'Protokol 10 Teams_2x5'!B61)</f>
        <v>MILO Olomouc 2</v>
      </c>
      <c r="D37" s="214" t="s">
        <v>6</v>
      </c>
      <c r="E37" s="213" t="str">
        <f>IF('Protokol 10 Teams_2x5'!D61="","",'Protokol 10 Teams_2x5'!D61)</f>
        <v>Sokol Šitbořice 3</v>
      </c>
      <c r="F37" s="297" t="s">
        <v>303</v>
      </c>
      <c r="G37" s="191" t="s">
        <v>31</v>
      </c>
      <c r="H37" s="191" t="s">
        <v>32</v>
      </c>
      <c r="I37" s="192">
        <v>4</v>
      </c>
      <c r="J37" s="193" t="s">
        <v>6</v>
      </c>
      <c r="K37" s="194">
        <v>0</v>
      </c>
      <c r="L37" s="192">
        <v>7</v>
      </c>
      <c r="M37" s="193" t="s">
        <v>6</v>
      </c>
      <c r="N37" s="194">
        <v>0</v>
      </c>
      <c r="P37" s="305" t="s">
        <v>230</v>
      </c>
      <c r="Q37" s="289"/>
    </row>
    <row r="38" spans="1:27" s="33" customFormat="1" ht="16.95" customHeight="1">
      <c r="A38" s="195"/>
      <c r="B38" s="196"/>
      <c r="C38" s="197"/>
      <c r="D38" s="198"/>
      <c r="E38" s="199"/>
      <c r="F38" s="200" t="str">
        <f>INDEX(W32:Y32,$P$2)</f>
        <v>4M údery a konečný výsledek</v>
      </c>
      <c r="G38" s="191"/>
      <c r="H38" s="191"/>
      <c r="I38" s="281"/>
      <c r="J38" s="193" t="s">
        <v>6</v>
      </c>
      <c r="K38" s="194"/>
      <c r="L38" s="283" t="str">
        <f>IF(I38="","",IF(I38&gt;K38,L37+1,L37))</f>
        <v/>
      </c>
      <c r="M38" s="284" t="s">
        <v>6</v>
      </c>
      <c r="N38" s="285" t="str">
        <f>IF(K38="","",IF(K38&gt;I38,N37+1,N37))</f>
        <v/>
      </c>
      <c r="P38" s="290" t="s">
        <v>231</v>
      </c>
      <c r="Q38" s="289"/>
    </row>
    <row r="39" spans="1:27" s="180" customFormat="1" ht="13.05" customHeight="1">
      <c r="A39" s="181"/>
      <c r="B39" s="182"/>
      <c r="C39" s="201" t="str">
        <f>INDEX(W39:Y39,$P$2)</f>
        <v>2.Semifinále 2.A - 1.B</v>
      </c>
      <c r="D39" s="184"/>
      <c r="E39" s="185"/>
      <c r="F39" s="202"/>
      <c r="G39" s="203"/>
      <c r="H39" s="203"/>
      <c r="I39" s="193"/>
      <c r="J39" s="193"/>
      <c r="K39" s="193"/>
      <c r="L39" s="193"/>
      <c r="M39" s="193"/>
      <c r="N39" s="193"/>
      <c r="P39" s="291"/>
      <c r="Q39" s="291"/>
      <c r="W39" s="221" t="s">
        <v>153</v>
      </c>
      <c r="X39" s="221" t="s">
        <v>166</v>
      </c>
      <c r="Y39" s="221" t="s">
        <v>165</v>
      </c>
      <c r="Z39" s="221"/>
    </row>
    <row r="40" spans="1:27" s="33" customFormat="1" ht="37.950000000000003" customHeight="1">
      <c r="A40" s="52" t="s">
        <v>59</v>
      </c>
      <c r="B40" s="204" t="s">
        <v>181</v>
      </c>
      <c r="C40" s="215" t="str">
        <f>IF('Protokol 10 Teams_2x5'!B65="","",'Protokol 10 Teams_2x5'!B65)</f>
        <v>Liberec - Chrastava</v>
      </c>
      <c r="D40" s="214" t="s">
        <v>6</v>
      </c>
      <c r="E40" s="215" t="str">
        <f>IF('Protokol 10 Teams_2x5'!D65="","",'Protokol 10 Teams_2x5'!D65)</f>
        <v>Sokol Šitbořice 2</v>
      </c>
      <c r="F40" s="297" t="s">
        <v>305</v>
      </c>
      <c r="G40" s="191" t="s">
        <v>31</v>
      </c>
      <c r="H40" s="191" t="s">
        <v>32</v>
      </c>
      <c r="I40" s="192">
        <v>1</v>
      </c>
      <c r="J40" s="193" t="s">
        <v>6</v>
      </c>
      <c r="K40" s="194">
        <v>3</v>
      </c>
      <c r="L40" s="192">
        <v>1</v>
      </c>
      <c r="M40" s="193" t="s">
        <v>6</v>
      </c>
      <c r="N40" s="194">
        <v>5</v>
      </c>
      <c r="P40" s="305" t="s">
        <v>230</v>
      </c>
      <c r="Q40" s="289"/>
    </row>
    <row r="41" spans="1:27" s="33" customFormat="1" ht="16.95" customHeight="1">
      <c r="A41" s="195"/>
      <c r="B41" s="196"/>
      <c r="C41" s="197"/>
      <c r="D41" s="198"/>
      <c r="E41" s="199"/>
      <c r="F41" s="200" t="str">
        <f>INDEX(W32:Y32,$P$2)</f>
        <v>4M údery a konečný výsledek</v>
      </c>
      <c r="G41" s="191"/>
      <c r="H41" s="191"/>
      <c r="I41" s="281"/>
      <c r="J41" s="193" t="s">
        <v>6</v>
      </c>
      <c r="K41" s="194"/>
      <c r="L41" s="283" t="str">
        <f>IF(I41="","",IF(I41&gt;K41,L40+1,L40))</f>
        <v/>
      </c>
      <c r="M41" s="284" t="s">
        <v>6</v>
      </c>
      <c r="N41" s="285" t="str">
        <f>IF(K41="","",IF(K41&gt;I41,N40+1,N40))</f>
        <v/>
      </c>
      <c r="P41" s="290" t="s">
        <v>231</v>
      </c>
      <c r="Q41" s="289"/>
    </row>
    <row r="42" spans="1:27" s="180" customFormat="1" ht="13.05" customHeight="1">
      <c r="A42" s="181"/>
      <c r="B42" s="182"/>
      <c r="C42" s="183" t="str">
        <f>INDEX(W42:Y42,$P$2)</f>
        <v>Utkání o 5. a 6. místo  3.A - 3.B</v>
      </c>
      <c r="D42" s="184"/>
      <c r="E42" s="185"/>
      <c r="F42" s="202"/>
      <c r="G42" s="203"/>
      <c r="H42" s="203"/>
      <c r="I42" s="193"/>
      <c r="J42" s="193"/>
      <c r="K42" s="193"/>
      <c r="L42" s="193"/>
      <c r="M42" s="193"/>
      <c r="N42" s="193"/>
      <c r="P42" s="291"/>
      <c r="Q42" s="291"/>
      <c r="W42" s="221" t="s">
        <v>178</v>
      </c>
      <c r="X42" s="221" t="s">
        <v>179</v>
      </c>
      <c r="Y42" s="221" t="s">
        <v>180</v>
      </c>
      <c r="Z42" s="221"/>
      <c r="AA42" s="39"/>
    </row>
    <row r="43" spans="1:27" s="33" customFormat="1" ht="37.950000000000003" customHeight="1">
      <c r="A43" s="52" t="s">
        <v>60</v>
      </c>
      <c r="B43" s="189" t="s">
        <v>203</v>
      </c>
      <c r="C43" s="213" t="str">
        <f>IF('Protokol 10 Teams_2x5'!B69="","",'Protokol 10 Teams_2x5'!B69)</f>
        <v>Start Plzeň</v>
      </c>
      <c r="D43" s="214" t="s">
        <v>6</v>
      </c>
      <c r="E43" s="213" t="str">
        <f>IF('Protokol 10 Teams_2x5'!D69="","",'Protokol 10 Teams_2x5'!D69)</f>
        <v>MILO Olomouc 1</v>
      </c>
      <c r="F43" s="297" t="s">
        <v>304</v>
      </c>
      <c r="G43" s="191" t="s">
        <v>31</v>
      </c>
      <c r="H43" s="191" t="s">
        <v>32</v>
      </c>
      <c r="I43" s="192">
        <v>0</v>
      </c>
      <c r="J43" s="193" t="s">
        <v>6</v>
      </c>
      <c r="K43" s="194">
        <v>1</v>
      </c>
      <c r="L43" s="192">
        <v>1</v>
      </c>
      <c r="M43" s="193" t="s">
        <v>6</v>
      </c>
      <c r="N43" s="194">
        <v>4</v>
      </c>
      <c r="P43" s="305" t="s">
        <v>230</v>
      </c>
      <c r="Q43" s="289"/>
    </row>
    <row r="44" spans="1:27" s="33" customFormat="1" ht="16.95" customHeight="1">
      <c r="A44" s="195"/>
      <c r="B44" s="196"/>
      <c r="C44" s="197"/>
      <c r="D44" s="198"/>
      <c r="E44" s="199"/>
      <c r="F44" s="200" t="str">
        <f>INDEX(W32:Y32,$P$2)</f>
        <v>4M údery a konečný výsledek</v>
      </c>
      <c r="G44" s="191"/>
      <c r="H44" s="191"/>
      <c r="I44" s="281"/>
      <c r="J44" s="193" t="s">
        <v>6</v>
      </c>
      <c r="K44" s="194"/>
      <c r="L44" s="283" t="str">
        <f>IF(I44="","",IF(I44&gt;K44,L43+1,L43))</f>
        <v/>
      </c>
      <c r="M44" s="284" t="s">
        <v>6</v>
      </c>
      <c r="N44" s="285" t="str">
        <f>IF(K44="","",IF(K44&gt;I44,N43+1,N43))</f>
        <v/>
      </c>
      <c r="P44" s="290" t="s">
        <v>231</v>
      </c>
      <c r="Q44" s="289"/>
    </row>
    <row r="45" spans="1:27" s="180" customFormat="1" ht="13.05" customHeight="1">
      <c r="A45" s="181"/>
      <c r="B45" s="182"/>
      <c r="C45" s="205" t="str">
        <f>INDEX(W45:Y45,$P$2)</f>
        <v>Utkání o 3. a 4. místo</v>
      </c>
      <c r="D45" s="184"/>
      <c r="E45" s="205" t="s">
        <v>223</v>
      </c>
      <c r="F45" s="202"/>
      <c r="G45" s="203"/>
      <c r="H45" s="203"/>
      <c r="I45" s="193"/>
      <c r="J45" s="193"/>
      <c r="K45" s="193"/>
      <c r="L45" s="193"/>
      <c r="M45" s="193"/>
      <c r="N45" s="193"/>
      <c r="P45" s="291"/>
      <c r="Q45" s="291"/>
      <c r="W45" s="221" t="s">
        <v>154</v>
      </c>
      <c r="X45" s="221" t="s">
        <v>162</v>
      </c>
      <c r="Y45" s="221" t="s">
        <v>163</v>
      </c>
      <c r="Z45" s="221"/>
    </row>
    <row r="46" spans="1:27" s="33" customFormat="1" ht="37.950000000000003" customHeight="1">
      <c r="A46" s="52" t="s">
        <v>189</v>
      </c>
      <c r="B46" s="189" t="s">
        <v>204</v>
      </c>
      <c r="C46" s="215" t="str">
        <f>IF('Protokol 10 Teams_2x5'!B73="","",'Protokol 10 Teams_2x5'!B73)</f>
        <v>Sokol Šitbořice 1</v>
      </c>
      <c r="D46" s="190" t="s">
        <v>6</v>
      </c>
      <c r="E46" s="215" t="str">
        <f>IF('Protokol 10 Teams_2x5'!D73="","",'Protokol 10 Teams_2x5'!D73)</f>
        <v>Liberec - Chrastava</v>
      </c>
      <c r="F46" s="297" t="s">
        <v>303</v>
      </c>
      <c r="G46" s="191" t="s">
        <v>31</v>
      </c>
      <c r="H46" s="191" t="s">
        <v>32</v>
      </c>
      <c r="I46" s="192">
        <v>1</v>
      </c>
      <c r="J46" s="193" t="s">
        <v>6</v>
      </c>
      <c r="K46" s="194">
        <v>2</v>
      </c>
      <c r="L46" s="192">
        <v>5</v>
      </c>
      <c r="M46" s="193" t="s">
        <v>6</v>
      </c>
      <c r="N46" s="194">
        <v>4</v>
      </c>
      <c r="P46" s="305" t="s">
        <v>230</v>
      </c>
      <c r="Q46" s="289"/>
    </row>
    <row r="47" spans="1:27" s="33" customFormat="1" ht="16.95" customHeight="1">
      <c r="A47" s="195"/>
      <c r="B47" s="196"/>
      <c r="C47" s="197"/>
      <c r="D47" s="198"/>
      <c r="E47" s="199"/>
      <c r="F47" s="200" t="str">
        <f>INDEX(W32:Y32,$P$2)</f>
        <v>4M údery a konečný výsledek</v>
      </c>
      <c r="G47" s="191"/>
      <c r="H47" s="191"/>
      <c r="I47" s="281"/>
      <c r="J47" s="193" t="s">
        <v>6</v>
      </c>
      <c r="K47" s="194"/>
      <c r="L47" s="283" t="str">
        <f>IF(I47="","",IF(I47&gt;K47,L46+1,L46))</f>
        <v/>
      </c>
      <c r="M47" s="284" t="s">
        <v>6</v>
      </c>
      <c r="N47" s="285" t="str">
        <f>IF(K47="","",IF(K47&gt;I47,N46+1,N46))</f>
        <v/>
      </c>
      <c r="P47" s="290" t="s">
        <v>231</v>
      </c>
      <c r="Q47" s="289"/>
    </row>
    <row r="48" spans="1:27" s="180" customFormat="1" ht="13.05" customHeight="1">
      <c r="A48" s="181"/>
      <c r="B48" s="182"/>
      <c r="C48" s="205" t="str">
        <f>INDEX(W48:Y48,$P$2)</f>
        <v>Utkání o 1. a 2. místo</v>
      </c>
      <c r="D48" s="184"/>
      <c r="E48" s="205" t="s">
        <v>224</v>
      </c>
      <c r="F48" s="202"/>
      <c r="G48" s="203"/>
      <c r="H48" s="203"/>
      <c r="I48" s="193"/>
      <c r="J48" s="193"/>
      <c r="K48" s="193"/>
      <c r="L48" s="193"/>
      <c r="M48" s="193"/>
      <c r="N48" s="193"/>
      <c r="P48" s="291"/>
      <c r="Q48" s="291"/>
      <c r="W48" s="221" t="s">
        <v>225</v>
      </c>
      <c r="X48" s="293" t="s">
        <v>226</v>
      </c>
      <c r="Y48" s="221" t="s">
        <v>227</v>
      </c>
      <c r="Z48" s="221"/>
    </row>
    <row r="49" spans="1:17" s="33" customFormat="1" ht="37.950000000000003" customHeight="1">
      <c r="A49" s="52" t="s">
        <v>190</v>
      </c>
      <c r="B49" s="204" t="s">
        <v>205</v>
      </c>
      <c r="C49" s="215" t="str">
        <f>IF('Protokol 10 Teams_2x5'!B77="","",'Protokol 10 Teams_2x5'!B77)</f>
        <v>Sokol Zlín-Prštné 1</v>
      </c>
      <c r="D49" s="190" t="s">
        <v>6</v>
      </c>
      <c r="E49" s="215" t="str">
        <f>IF('Protokol 10 Teams_2x5'!D77="","",'Protokol 10 Teams_2x5'!D77)</f>
        <v>Sokol Šitbořice 2</v>
      </c>
      <c r="F49" s="297" t="s">
        <v>305</v>
      </c>
      <c r="G49" s="191" t="s">
        <v>31</v>
      </c>
      <c r="H49" s="191" t="s">
        <v>32</v>
      </c>
      <c r="I49" s="192">
        <v>1</v>
      </c>
      <c r="J49" s="193" t="s">
        <v>6</v>
      </c>
      <c r="K49" s="194">
        <v>1</v>
      </c>
      <c r="L49" s="192">
        <v>2</v>
      </c>
      <c r="M49" s="193" t="s">
        <v>6</v>
      </c>
      <c r="N49" s="194">
        <v>2</v>
      </c>
      <c r="P49" s="305" t="s">
        <v>230</v>
      </c>
      <c r="Q49" s="289"/>
    </row>
    <row r="50" spans="1:17" s="33" customFormat="1" ht="16.95" customHeight="1">
      <c r="A50" s="195"/>
      <c r="B50" s="196"/>
      <c r="C50" s="197"/>
      <c r="D50" s="198"/>
      <c r="E50" s="199"/>
      <c r="F50" s="200" t="str">
        <f>INDEX(W32:Y32,$P$2)</f>
        <v>4M údery a konečný výsledek</v>
      </c>
      <c r="G50" s="191"/>
      <c r="H50" s="191"/>
      <c r="I50" s="281">
        <v>1</v>
      </c>
      <c r="J50" s="193" t="s">
        <v>6</v>
      </c>
      <c r="K50" s="194">
        <v>0</v>
      </c>
      <c r="L50" s="283">
        <f>IF(I50="","",IF(I50&gt;K50,L49+1,L49))</f>
        <v>3</v>
      </c>
      <c r="M50" s="284" t="s">
        <v>6</v>
      </c>
      <c r="N50" s="285">
        <f>IF(K50="","",IF(K50&gt;I50,N49+1,N49))</f>
        <v>2</v>
      </c>
      <c r="P50" s="290" t="s">
        <v>231</v>
      </c>
      <c r="Q50" s="289"/>
    </row>
    <row r="51" spans="1:17" s="180" customFormat="1" ht="13.05" customHeight="1">
      <c r="A51" s="206"/>
      <c r="B51" s="207"/>
      <c r="C51" s="208"/>
      <c r="D51" s="209"/>
      <c r="E51" s="208"/>
      <c r="F51" s="210"/>
      <c r="G51" s="211"/>
      <c r="H51" s="211"/>
      <c r="I51" s="212"/>
      <c r="J51" s="212"/>
      <c r="K51" s="212"/>
      <c r="L51" s="212"/>
      <c r="M51" s="212"/>
      <c r="N51" s="212"/>
    </row>
    <row r="52" spans="1:17">
      <c r="E52" s="353" t="s">
        <v>3</v>
      </c>
    </row>
    <row r="53" spans="1:17">
      <c r="E53" s="270" t="s">
        <v>304</v>
      </c>
      <c r="F53" s="268">
        <f>COUNTIF($F$6:$F$49,E53)</f>
        <v>7</v>
      </c>
    </row>
    <row r="54" spans="1:17">
      <c r="E54" s="270" t="s">
        <v>305</v>
      </c>
      <c r="F54" s="268">
        <f>COUNTIF($F$6:$F$49,E54)</f>
        <v>7</v>
      </c>
    </row>
    <row r="55" spans="1:17">
      <c r="E55" s="270" t="s">
        <v>303</v>
      </c>
      <c r="F55" s="268">
        <f>COUNTIF($F$6:$F$49,E55)</f>
        <v>8</v>
      </c>
    </row>
    <row r="56" spans="1:17" ht="13.8" thickBot="1">
      <c r="E56" s="355" t="s">
        <v>174</v>
      </c>
      <c r="F56" s="356">
        <f>COUNTIF($F$6:$F$49,E56)</f>
        <v>5</v>
      </c>
    </row>
    <row r="57" spans="1:17" ht="13.8" thickTop="1">
      <c r="E57" s="270" t="s">
        <v>261</v>
      </c>
      <c r="F57" s="268">
        <f>SUM(F53:F56)</f>
        <v>27</v>
      </c>
    </row>
  </sheetData>
  <mergeCells count="14">
    <mergeCell ref="I2:K2"/>
    <mergeCell ref="L2:N2"/>
    <mergeCell ref="A2:H2"/>
    <mergeCell ref="A4:A5"/>
    <mergeCell ref="B4:B5"/>
    <mergeCell ref="C4:C5"/>
    <mergeCell ref="E4:E5"/>
    <mergeCell ref="F4:F5"/>
    <mergeCell ref="G4:H4"/>
    <mergeCell ref="Q12:S12"/>
    <mergeCell ref="I4:K5"/>
    <mergeCell ref="L4:N5"/>
    <mergeCell ref="D4:D5"/>
    <mergeCell ref="U4:V5"/>
  </mergeCells>
  <phoneticPr fontId="0" type="noConversion"/>
  <printOptions horizontalCentered="1"/>
  <pageMargins left="0.31496062992125984" right="0.27559055118110237" top="0.43307086614173229" bottom="0.70866141732283472" header="0.23622047244094491" footer="0.43307086614173229"/>
  <pageSetup paperSize="274" scale="90" orientation="portrait" horizontalDpi="300" verticalDpi="300" r:id="rId1"/>
  <headerFooter alignWithMargins="0">
    <oddFooter>&amp;C&amp;P&amp;R&amp;A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10 Teams_2x5</vt:lpstr>
      <vt:lpstr>Pořadí 10 Teams_2x5_Spielplan</vt:lpstr>
      <vt:lpstr>'Pořadí 10 Teams_2x5_Spielplan'!Názvy_tisku</vt:lpstr>
      <vt:lpstr>'Pořadí 10 Teams_2x5_Spielplan'!Oblast_tisku</vt:lpstr>
      <vt:lpstr>'Protokol 10 Teams_2x5'!Oblast_tisku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2026-04-27T14:52:10Z</cp:lastPrinted>
  <dcterms:created xsi:type="dcterms:W3CDTF">1998-10-05T17:57:10Z</dcterms:created>
  <dcterms:modified xsi:type="dcterms:W3CDTF">2026-04-27T15:00:35Z</dcterms:modified>
  <cp:category>ELITE ČP finále</cp:category>
</cp:coreProperties>
</file>