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f Vild\Documents\K odeslání\"/>
    </mc:Choice>
  </mc:AlternateContent>
  <bookViews>
    <workbookView xWindow="360" yWindow="216" windowWidth="11316" windowHeight="5316" tabRatio="644"/>
  </bookViews>
  <sheets>
    <sheet name="Protokol 8 Teams" sheetId="13" r:id="rId1"/>
    <sheet name="Pořadí zápasů 8 Teams_Spielplan" sheetId="52" r:id="rId2"/>
  </sheets>
  <definedNames>
    <definedName name="_xlnm.Print_Titles" localSheetId="1">'Pořadí zápasů 8 Teams_Spielplan'!$4:$5</definedName>
    <definedName name="_xlnm.Print_Area" localSheetId="1">'Pořadí zápasů 8 Teams_Spielplan'!$A:$N</definedName>
    <definedName name="_xlnm.Print_Area" localSheetId="0">'Protokol 8 Teams'!$A:$AH</definedName>
  </definedNames>
  <calcPr calcId="152511"/>
</workbook>
</file>

<file path=xl/calcChain.xml><?xml version="1.0" encoding="utf-8"?>
<calcChain xmlns="http://schemas.openxmlformats.org/spreadsheetml/2006/main">
  <c r="AH35" i="13" l="1"/>
  <c r="F38" i="52" l="1"/>
  <c r="F39" i="52" l="1"/>
  <c r="F37" i="52"/>
  <c r="F36" i="52"/>
  <c r="F40" i="52" l="1"/>
  <c r="O5" i="13"/>
  <c r="X33" i="13"/>
  <c r="K38" i="13" s="1"/>
  <c r="N32" i="13"/>
  <c r="F34" i="13" s="1"/>
  <c r="L32" i="13"/>
  <c r="H34" i="13" s="1"/>
  <c r="Z33" i="13"/>
  <c r="I38" i="13" s="1"/>
  <c r="W36" i="13"/>
  <c r="R37" i="13" s="1"/>
  <c r="U36" i="13"/>
  <c r="T37" i="13" s="1"/>
  <c r="Q31" i="13"/>
  <c r="C35" i="13" s="1"/>
  <c r="O31" i="13"/>
  <c r="E35" i="13"/>
  <c r="Z34" i="13"/>
  <c r="L38" i="13" s="1"/>
  <c r="X34" i="13"/>
  <c r="N38" i="13" s="1"/>
  <c r="W32" i="13"/>
  <c r="F37" i="13" s="1"/>
  <c r="U32" i="13"/>
  <c r="H37" i="13" s="1"/>
  <c r="K31" i="13"/>
  <c r="C33" i="13" s="1"/>
  <c r="I31" i="13"/>
  <c r="E33" i="13" s="1"/>
  <c r="Z36" i="13"/>
  <c r="R38" i="13" s="1"/>
  <c r="X36" i="13"/>
  <c r="T38" i="13" s="1"/>
  <c r="Q34" i="13"/>
  <c r="L35" i="13" s="1"/>
  <c r="O34" i="13"/>
  <c r="N35" i="13" s="1"/>
  <c r="W33" i="13"/>
  <c r="I37" i="13" s="1"/>
  <c r="U33" i="13"/>
  <c r="K37" i="13" s="1"/>
  <c r="Z32" i="13"/>
  <c r="F38" i="13" s="1"/>
  <c r="X32" i="13"/>
  <c r="H38" i="13" s="1"/>
  <c r="T31" i="13"/>
  <c r="C36" i="13" s="1"/>
  <c r="R31" i="13"/>
  <c r="E36" i="13" s="1"/>
  <c r="Q33" i="13"/>
  <c r="I35" i="13" s="1"/>
  <c r="O33" i="13"/>
  <c r="K35" i="13" s="1"/>
  <c r="W34" i="13"/>
  <c r="L37" i="13" s="1"/>
  <c r="U34" i="13"/>
  <c r="N37" i="13" s="1"/>
  <c r="T32" i="13"/>
  <c r="F36" i="13" s="1"/>
  <c r="R32" i="13"/>
  <c r="H36" i="13" s="1"/>
  <c r="Z31" i="13"/>
  <c r="C38" i="13" s="1"/>
  <c r="X31" i="13"/>
  <c r="E38" i="13" s="1"/>
  <c r="W35" i="13"/>
  <c r="O37" i="13" s="1"/>
  <c r="U35" i="13"/>
  <c r="Q37" i="13" s="1"/>
  <c r="K32" i="13"/>
  <c r="F33" i="13" s="1"/>
  <c r="I32" i="13"/>
  <c r="H33" i="13" s="1"/>
  <c r="T34" i="13"/>
  <c r="L36" i="13" s="1"/>
  <c r="R34" i="13"/>
  <c r="N36" i="13" s="1"/>
  <c r="Z35" i="13"/>
  <c r="O38" i="13" s="1"/>
  <c r="X35" i="13"/>
  <c r="Q38" i="13" s="1"/>
  <c r="W31" i="13"/>
  <c r="C37" i="13" s="1"/>
  <c r="U31" i="13"/>
  <c r="E37" i="13" s="1"/>
  <c r="T33" i="13"/>
  <c r="I36" i="13" s="1"/>
  <c r="R33" i="13"/>
  <c r="K36" i="13" s="1"/>
  <c r="Q32" i="13"/>
  <c r="F35" i="13" s="1"/>
  <c r="O32" i="13"/>
  <c r="H35" i="13" s="1"/>
  <c r="N31" i="13"/>
  <c r="C34" i="13" s="1"/>
  <c r="L31" i="13"/>
  <c r="E34" i="13" s="1"/>
  <c r="Z37" i="13"/>
  <c r="U38" i="13" s="1"/>
  <c r="X37" i="13"/>
  <c r="W38" i="13" s="1"/>
  <c r="AN63" i="13"/>
  <c r="AM63" i="13"/>
  <c r="B19" i="13"/>
  <c r="B38" i="13" s="1"/>
  <c r="E33" i="52"/>
  <c r="Y33" i="52" s="1"/>
  <c r="E32" i="52"/>
  <c r="AA32" i="52" s="1"/>
  <c r="E31" i="52"/>
  <c r="Y31" i="52" s="1"/>
  <c r="E30" i="52"/>
  <c r="Y30" i="52" s="1"/>
  <c r="E29" i="52"/>
  <c r="AA29" i="52" s="1"/>
  <c r="E28" i="52"/>
  <c r="E27" i="52"/>
  <c r="AA27" i="52" s="1"/>
  <c r="E26" i="52"/>
  <c r="Y26" i="52" s="1"/>
  <c r="E25" i="52"/>
  <c r="E24" i="52"/>
  <c r="AA24" i="52" s="1"/>
  <c r="E23" i="52"/>
  <c r="Y23" i="52" s="1"/>
  <c r="E22" i="52"/>
  <c r="AA22" i="52" s="1"/>
  <c r="E21" i="52"/>
  <c r="E20" i="52"/>
  <c r="E19" i="52"/>
  <c r="Y19" i="52" s="1"/>
  <c r="E18" i="52"/>
  <c r="AA18" i="52" s="1"/>
  <c r="E17" i="52"/>
  <c r="E16" i="52"/>
  <c r="AA16" i="52" s="1"/>
  <c r="E15" i="52"/>
  <c r="Y15" i="52" s="1"/>
  <c r="E14" i="52"/>
  <c r="Y14" i="52" s="1"/>
  <c r="E13" i="52"/>
  <c r="E12" i="52"/>
  <c r="E11" i="52"/>
  <c r="E10" i="52"/>
  <c r="Y10" i="52" s="1"/>
  <c r="E9" i="52"/>
  <c r="E8" i="52"/>
  <c r="E7" i="52"/>
  <c r="Y7" i="52" s="1"/>
  <c r="E6" i="52"/>
  <c r="Y6" i="52" s="1"/>
  <c r="C33" i="52"/>
  <c r="C32" i="52"/>
  <c r="Z32" i="52" s="1"/>
  <c r="C31" i="52"/>
  <c r="Z31" i="52" s="1"/>
  <c r="C30" i="52"/>
  <c r="Z30" i="52" s="1"/>
  <c r="C29" i="52"/>
  <c r="Z29" i="52" s="1"/>
  <c r="C28" i="52"/>
  <c r="Z28" i="52" s="1"/>
  <c r="C27" i="52"/>
  <c r="Z27" i="52" s="1"/>
  <c r="C26" i="52"/>
  <c r="Z26" i="52" s="1"/>
  <c r="C25" i="52"/>
  <c r="Z25" i="52" s="1"/>
  <c r="C24" i="52"/>
  <c r="Z24" i="52" s="1"/>
  <c r="C23" i="52"/>
  <c r="Z23" i="52" s="1"/>
  <c r="C22" i="52"/>
  <c r="Z22" i="52" s="1"/>
  <c r="C21" i="52"/>
  <c r="Z21" i="52" s="1"/>
  <c r="C20" i="52"/>
  <c r="C19" i="52"/>
  <c r="Z19" i="52" s="1"/>
  <c r="C18" i="52"/>
  <c r="Z18" i="52" s="1"/>
  <c r="C17" i="52"/>
  <c r="C16" i="52"/>
  <c r="C15" i="52"/>
  <c r="Z15" i="52" s="1"/>
  <c r="C14" i="52"/>
  <c r="Z14" i="52" s="1"/>
  <c r="C13" i="52"/>
  <c r="X13" i="52" s="1"/>
  <c r="C12" i="52"/>
  <c r="Z12" i="52" s="1"/>
  <c r="C11" i="52"/>
  <c r="Z11" i="52" s="1"/>
  <c r="C10" i="52"/>
  <c r="Z10" i="52" s="1"/>
  <c r="C9" i="52"/>
  <c r="C8" i="52"/>
  <c r="C7" i="52"/>
  <c r="Z7" i="52" s="1"/>
  <c r="C6" i="52"/>
  <c r="X6" i="52" s="1"/>
  <c r="AA33" i="52"/>
  <c r="Z33" i="52"/>
  <c r="X33" i="52"/>
  <c r="Y32" i="52"/>
  <c r="X32" i="52"/>
  <c r="AA31" i="52"/>
  <c r="X31" i="52"/>
  <c r="Y29" i="52"/>
  <c r="X29" i="52"/>
  <c r="AA28" i="52"/>
  <c r="Y28" i="52"/>
  <c r="X28" i="52"/>
  <c r="Y27" i="52"/>
  <c r="T35" i="13"/>
  <c r="O36" i="13" s="1"/>
  <c r="R35" i="13"/>
  <c r="Q36" i="13" s="1"/>
  <c r="N33" i="13"/>
  <c r="I34" i="13" s="1"/>
  <c r="L33" i="13"/>
  <c r="K34" i="13" s="1"/>
  <c r="H31" i="13"/>
  <c r="C32" i="13" s="1"/>
  <c r="F31" i="13"/>
  <c r="B12" i="13"/>
  <c r="B13" i="13"/>
  <c r="B32" i="13" s="1"/>
  <c r="B14" i="13"/>
  <c r="AL58" i="13" s="1"/>
  <c r="B15" i="13"/>
  <c r="AL59" i="13" s="1"/>
  <c r="B16" i="13"/>
  <c r="AL60" i="13" s="1"/>
  <c r="B17" i="13"/>
  <c r="AL61" i="13" s="1"/>
  <c r="B18" i="13"/>
  <c r="AL62" i="13" s="1"/>
  <c r="P2" i="52"/>
  <c r="P4" i="52" s="1"/>
  <c r="AA19" i="52"/>
  <c r="Z20" i="52"/>
  <c r="Z17" i="52"/>
  <c r="Z13" i="52"/>
  <c r="Z8" i="52"/>
  <c r="Z6" i="52"/>
  <c r="Y25" i="52"/>
  <c r="Y24" i="52"/>
  <c r="Y22" i="52"/>
  <c r="Y21" i="52"/>
  <c r="Y20" i="52"/>
  <c r="Y18" i="52"/>
  <c r="Y17" i="52"/>
  <c r="Y13" i="52"/>
  <c r="Y12" i="52"/>
  <c r="Y11" i="52"/>
  <c r="Y8" i="52"/>
  <c r="X19" i="52"/>
  <c r="X16" i="52"/>
  <c r="AN62" i="13"/>
  <c r="AN61" i="13"/>
  <c r="AN60" i="13"/>
  <c r="AN59" i="13"/>
  <c r="AN58" i="13"/>
  <c r="AN57" i="13"/>
  <c r="AN56" i="13"/>
  <c r="AM62" i="13"/>
  <c r="AM61" i="13"/>
  <c r="AM60" i="13"/>
  <c r="AM59" i="13"/>
  <c r="AM58" i="13"/>
  <c r="AM57" i="13"/>
  <c r="AM56" i="13"/>
  <c r="C55" i="13"/>
  <c r="AJ2" i="13"/>
  <c r="AA21" i="52"/>
  <c r="AA20" i="52"/>
  <c r="X20" i="52"/>
  <c r="Y16" i="52"/>
  <c r="Z16" i="52"/>
  <c r="AA15" i="52"/>
  <c r="AA12" i="52"/>
  <c r="X12" i="52"/>
  <c r="X9" i="52"/>
  <c r="Z9" i="52"/>
  <c r="AA9" i="52"/>
  <c r="S4" i="52"/>
  <c r="L4" i="52"/>
  <c r="E4" i="52"/>
  <c r="AJ3" i="13"/>
  <c r="AH55" i="13"/>
  <c r="AE55" i="13"/>
  <c r="AD55" i="13"/>
  <c r="AA55" i="13"/>
  <c r="X55" i="13"/>
  <c r="U55" i="13"/>
  <c r="R55" i="13"/>
  <c r="B55" i="13"/>
  <c r="A55" i="13"/>
  <c r="A53" i="13"/>
  <c r="Q48" i="13"/>
  <c r="B48" i="13"/>
  <c r="AC40" i="13"/>
  <c r="A41" i="13"/>
  <c r="AH30" i="13"/>
  <c r="AE30" i="13"/>
  <c r="AD30" i="13"/>
  <c r="B30" i="13"/>
  <c r="A28" i="13"/>
  <c r="U23" i="13"/>
  <c r="B25" i="13"/>
  <c r="B24" i="13"/>
  <c r="B23" i="13"/>
  <c r="A21" i="13"/>
  <c r="AG11" i="13"/>
  <c r="W11" i="13"/>
  <c r="R11" i="13"/>
  <c r="F11" i="13"/>
  <c r="B11" i="13"/>
  <c r="A9" i="13"/>
  <c r="Q7" i="13"/>
  <c r="B7" i="13"/>
  <c r="B6" i="13"/>
  <c r="B5" i="13"/>
  <c r="B4" i="13"/>
  <c r="A2" i="13"/>
  <c r="X21" i="52"/>
  <c r="X15" i="52"/>
  <c r="X8" i="52"/>
  <c r="AA8" i="52"/>
  <c r="Y9" i="52"/>
  <c r="AA25" i="52"/>
  <c r="AA11" i="52"/>
  <c r="AA17" i="52"/>
  <c r="X24" i="52"/>
  <c r="X11" i="52"/>
  <c r="AA23" i="52"/>
  <c r="X17" i="52"/>
  <c r="AA13" i="52"/>
  <c r="X25" i="52"/>
  <c r="X23" i="52"/>
  <c r="X14" i="52" l="1"/>
  <c r="AA7" i="52"/>
  <c r="X22" i="52"/>
  <c r="X18" i="52"/>
  <c r="X30" i="52"/>
  <c r="AA30" i="52"/>
  <c r="X7" i="52"/>
  <c r="X27" i="52"/>
  <c r="AL63" i="13"/>
  <c r="X26" i="52"/>
  <c r="X10" i="52"/>
  <c r="AA26" i="52"/>
  <c r="AA14" i="52"/>
  <c r="AA10" i="52"/>
  <c r="AA6" i="52"/>
  <c r="B35" i="13"/>
  <c r="S11" i="52"/>
  <c r="AO61" i="13" s="1"/>
  <c r="AL57" i="13"/>
  <c r="B36" i="13"/>
  <c r="B33" i="13"/>
  <c r="B37" i="13"/>
  <c r="B34" i="13"/>
  <c r="P5" i="52"/>
  <c r="A4" i="52"/>
  <c r="G4" i="52"/>
  <c r="H5" i="52"/>
  <c r="F4" i="52"/>
  <c r="G5" i="52"/>
  <c r="A2" i="52"/>
  <c r="C4" i="52"/>
  <c r="I4" i="52"/>
  <c r="AE37" i="13"/>
  <c r="AT62" i="13" s="1"/>
  <c r="AG31" i="13"/>
  <c r="AU56" i="13" s="1"/>
  <c r="AE33" i="13"/>
  <c r="AT58" i="13" s="1"/>
  <c r="AD35" i="13"/>
  <c r="AG36" i="13"/>
  <c r="AU61" i="13" s="1"/>
  <c r="AD37" i="13"/>
  <c r="AD31" i="13"/>
  <c r="AS56" i="13" s="1"/>
  <c r="AG34" i="13"/>
  <c r="AU59" i="13" s="1"/>
  <c r="AD34" i="13"/>
  <c r="AG37" i="13"/>
  <c r="AD36" i="13"/>
  <c r="AE35" i="13"/>
  <c r="AT60" i="13" s="1"/>
  <c r="S8" i="52"/>
  <c r="E32" i="13"/>
  <c r="AD32" i="13" s="1"/>
  <c r="AS57" i="13" s="1"/>
  <c r="AE31" i="13"/>
  <c r="S12" i="52"/>
  <c r="S7" i="52"/>
  <c r="S13" i="52"/>
  <c r="S6" i="52"/>
  <c r="S9" i="52"/>
  <c r="AE32" i="13"/>
  <c r="AG35" i="13"/>
  <c r="AU60" i="13" s="1"/>
  <c r="AE36" i="13"/>
  <c r="AE34" i="13"/>
  <c r="AD33" i="13"/>
  <c r="AL56" i="13"/>
  <c r="B31" i="13"/>
  <c r="AE38" i="13"/>
  <c r="AT63" i="13" s="1"/>
  <c r="AD38" i="13"/>
  <c r="S10" i="52"/>
  <c r="AG38" i="13"/>
  <c r="AU63" i="13" s="1"/>
  <c r="AH36" i="13" l="1"/>
  <c r="U6" i="52"/>
  <c r="AP56" i="13" s="1"/>
  <c r="U11" i="52"/>
  <c r="AP61" i="13" s="1"/>
  <c r="U9" i="52"/>
  <c r="AP59" i="13" s="1"/>
  <c r="U10" i="52"/>
  <c r="AP60" i="13" s="1"/>
  <c r="U7" i="52"/>
  <c r="AP57" i="13" s="1"/>
  <c r="W13" i="52"/>
  <c r="AR63" i="13" s="1"/>
  <c r="W11" i="52"/>
  <c r="AR61" i="13" s="1"/>
  <c r="U12" i="52"/>
  <c r="AP62" i="13" s="1"/>
  <c r="AS63" i="13"/>
  <c r="AH38" i="13"/>
  <c r="AK63" i="13" s="1"/>
  <c r="AS59" i="13"/>
  <c r="AH34" i="13"/>
  <c r="AK59" i="13" s="1"/>
  <c r="U8" i="52"/>
  <c r="AP58" i="13" s="1"/>
  <c r="AS62" i="13"/>
  <c r="AH37" i="13"/>
  <c r="AK62" i="13" s="1"/>
  <c r="W7" i="52"/>
  <c r="AR57" i="13" s="1"/>
  <c r="AS60" i="13"/>
  <c r="AK60" i="13"/>
  <c r="U13" i="52"/>
  <c r="AP63" i="13" s="1"/>
  <c r="W9" i="52"/>
  <c r="AR59" i="13" s="1"/>
  <c r="W10" i="52"/>
  <c r="AR60" i="13" s="1"/>
  <c r="W6" i="52"/>
  <c r="AR56" i="13" s="1"/>
  <c r="W12" i="52"/>
  <c r="AR62" i="13" s="1"/>
  <c r="W8" i="52"/>
  <c r="AR58" i="13" s="1"/>
  <c r="AE40" i="13"/>
  <c r="AD40" i="13"/>
  <c r="AI35" i="13"/>
  <c r="AO56" i="13"/>
  <c r="AH31" i="13"/>
  <c r="AK56" i="13" s="1"/>
  <c r="AS61" i="13"/>
  <c r="AK61" i="13"/>
  <c r="AI38" i="13"/>
  <c r="AT59" i="13"/>
  <c r="AI34" i="13"/>
  <c r="AO63" i="13"/>
  <c r="AT56" i="13"/>
  <c r="AI37" i="13"/>
  <c r="AU62" i="13"/>
  <c r="AT61" i="13"/>
  <c r="AI36" i="13"/>
  <c r="AO58" i="13"/>
  <c r="AT57" i="13"/>
  <c r="AO57" i="13"/>
  <c r="AI31" i="13"/>
  <c r="AO60" i="13"/>
  <c r="AH33" i="13"/>
  <c r="AK58" i="13" s="1"/>
  <c r="AS58" i="13"/>
  <c r="AH32" i="13"/>
  <c r="AK57" i="13" s="1"/>
  <c r="AO59" i="13"/>
  <c r="AO62" i="13"/>
  <c r="AG33" i="13"/>
  <c r="AG32" i="13"/>
  <c r="V11" i="52" l="1"/>
  <c r="AQ61" i="13" s="1"/>
  <c r="AG40" i="13"/>
  <c r="B58" i="13"/>
  <c r="V13" i="52"/>
  <c r="AQ63" i="13" s="1"/>
  <c r="X60" i="13" s="1"/>
  <c r="V9" i="52"/>
  <c r="AQ59" i="13" s="1"/>
  <c r="B63" i="13"/>
  <c r="V7" i="52"/>
  <c r="AQ57" i="13" s="1"/>
  <c r="B61" i="13"/>
  <c r="V6" i="52"/>
  <c r="AQ56" i="13" s="1"/>
  <c r="V8" i="52"/>
  <c r="AQ58" i="13" s="1"/>
  <c r="V12" i="52"/>
  <c r="AQ62" i="13" s="1"/>
  <c r="V10" i="52"/>
  <c r="AQ60" i="13" s="1"/>
  <c r="X57" i="13" s="1"/>
  <c r="B62" i="13"/>
  <c r="B60" i="13"/>
  <c r="B56" i="13"/>
  <c r="B57" i="13"/>
  <c r="B59" i="13"/>
  <c r="AU57" i="13"/>
  <c r="U62" i="13"/>
  <c r="AG62" i="13"/>
  <c r="AE62" i="13"/>
  <c r="AA62" i="13"/>
  <c r="C62" i="13"/>
  <c r="R62" i="13"/>
  <c r="AD62" i="13"/>
  <c r="K62" i="13"/>
  <c r="AU58" i="13"/>
  <c r="AI33" i="13"/>
  <c r="R63" i="13"/>
  <c r="AE63" i="13"/>
  <c r="K63" i="13"/>
  <c r="X63" i="13"/>
  <c r="C63" i="13"/>
  <c r="AG63" i="13"/>
  <c r="AD63" i="13"/>
  <c r="U63" i="13"/>
  <c r="AA63" i="13"/>
  <c r="K60" i="13"/>
  <c r="AG60" i="13"/>
  <c r="AA60" i="13"/>
  <c r="AD60" i="13"/>
  <c r="AE60" i="13"/>
  <c r="R60" i="13"/>
  <c r="U60" i="13"/>
  <c r="C60" i="13"/>
  <c r="AI32" i="13"/>
  <c r="AE59" i="13"/>
  <c r="C59" i="13"/>
  <c r="AD59" i="13"/>
  <c r="K59" i="13"/>
  <c r="AG59" i="13"/>
  <c r="AA59" i="13"/>
  <c r="R59" i="13"/>
  <c r="U59" i="13"/>
  <c r="R58" i="13"/>
  <c r="K58" i="13"/>
  <c r="C58" i="13"/>
  <c r="AA58" i="13"/>
  <c r="AD58" i="13"/>
  <c r="AG58" i="13"/>
  <c r="AE58" i="13"/>
  <c r="U58" i="13"/>
  <c r="K56" i="13"/>
  <c r="AD56" i="13"/>
  <c r="AA56" i="13"/>
  <c r="AE56" i="13"/>
  <c r="C56" i="13"/>
  <c r="U56" i="13"/>
  <c r="AG56" i="13"/>
  <c r="R56" i="13"/>
  <c r="R57" i="13"/>
  <c r="C57" i="13"/>
  <c r="U57" i="13"/>
  <c r="AA57" i="13"/>
  <c r="K57" i="13"/>
  <c r="AD57" i="13"/>
  <c r="AG57" i="13"/>
  <c r="AE57" i="13"/>
  <c r="K61" i="13"/>
  <c r="AD61" i="13"/>
  <c r="U61" i="13"/>
  <c r="R61" i="13"/>
  <c r="AG61" i="13"/>
  <c r="C61" i="13"/>
  <c r="X61" i="13"/>
  <c r="AA61" i="13"/>
  <c r="AE61" i="13"/>
  <c r="X59" i="13" l="1"/>
  <c r="X62" i="13"/>
  <c r="X58" i="13"/>
  <c r="AH61" i="13"/>
  <c r="AI40" i="13"/>
  <c r="X56" i="13"/>
  <c r="AH62" i="13"/>
  <c r="AH58" i="13"/>
  <c r="AH56" i="13"/>
  <c r="AH59" i="13"/>
  <c r="AH63" i="13"/>
  <c r="AH60" i="13"/>
  <c r="AH57" i="13"/>
</calcChain>
</file>

<file path=xl/sharedStrings.xml><?xml version="1.0" encoding="utf-8"?>
<sst xmlns="http://schemas.openxmlformats.org/spreadsheetml/2006/main" count="555" uniqueCount="257">
  <si>
    <t>v</t>
  </si>
  <si>
    <t>Startující</t>
  </si>
  <si>
    <t>JMÉNO</t>
  </si>
  <si>
    <t>Rozhodčí</t>
  </si>
  <si>
    <t>Rozhodčí:</t>
  </si>
  <si>
    <t>Výsledky</t>
  </si>
  <si>
    <t>Body</t>
  </si>
  <si>
    <t>Místo</t>
  </si>
  <si>
    <t>:</t>
  </si>
  <si>
    <t>Různé</t>
  </si>
  <si>
    <t>1.</t>
  </si>
  <si>
    <t>2.</t>
  </si>
  <si>
    <t>5.</t>
  </si>
  <si>
    <t>6.</t>
  </si>
  <si>
    <t>4.</t>
  </si>
  <si>
    <t>3.</t>
  </si>
  <si>
    <t>7.</t>
  </si>
  <si>
    <t>Poločas</t>
  </si>
  <si>
    <t>Výsledek</t>
  </si>
  <si>
    <t>------------</t>
  </si>
  <si>
    <t xml:space="preserve">PROTOKOL - ČESKÝ SVAZ CYKLISTIKY  </t>
  </si>
  <si>
    <t>Konečné pořadí</t>
  </si>
  <si>
    <t>Branky poločasů</t>
  </si>
  <si>
    <t>1.druž.</t>
  </si>
  <si>
    <t>2.druž.</t>
  </si>
  <si>
    <t>-----------</t>
  </si>
  <si>
    <t>Nasazení družstev</t>
  </si>
  <si>
    <t>Branky</t>
  </si>
  <si>
    <t>MIMO OBLAST TISKU</t>
  </si>
  <si>
    <t>Kontrola počtu zápasů</t>
  </si>
  <si>
    <t>CZ</t>
  </si>
  <si>
    <t>EN</t>
  </si>
  <si>
    <t>DE</t>
  </si>
  <si>
    <t>Hlavní rozhodčí:</t>
  </si>
  <si>
    <t>Časoměřič:</t>
  </si>
  <si>
    <t>Zapisovatel:</t>
  </si>
  <si>
    <t>Za pořadatele:</t>
  </si>
  <si>
    <t>Resultate</t>
  </si>
  <si>
    <t>Tore</t>
  </si>
  <si>
    <t>Veranstaltung:</t>
  </si>
  <si>
    <t>Datum:</t>
  </si>
  <si>
    <t>in</t>
  </si>
  <si>
    <t>Spielfläche:</t>
  </si>
  <si>
    <t>hrací plocha:</t>
  </si>
  <si>
    <t>doba hry:</t>
  </si>
  <si>
    <t>Spiel Zeit:</t>
  </si>
  <si>
    <t>Teilnahme</t>
  </si>
  <si>
    <t>Spieler</t>
  </si>
  <si>
    <t>Verein</t>
  </si>
  <si>
    <t>Zeitnehmer:</t>
  </si>
  <si>
    <t>Schriftführer:</t>
  </si>
  <si>
    <t>Kommissäre:</t>
  </si>
  <si>
    <t>Kommissäre</t>
  </si>
  <si>
    <t>Andere</t>
  </si>
  <si>
    <t>Veranstalter:</t>
  </si>
  <si>
    <t>Endstand</t>
  </si>
  <si>
    <t>Diff.</t>
  </si>
  <si>
    <t>Rozdíl</t>
  </si>
  <si>
    <t>S</t>
  </si>
  <si>
    <t>U</t>
  </si>
  <si>
    <t>N</t>
  </si>
  <si>
    <t>Sp.</t>
  </si>
  <si>
    <t>Počet</t>
  </si>
  <si>
    <t>Poř</t>
  </si>
  <si>
    <t>Rang</t>
  </si>
  <si>
    <t>Halle - Sportklub:</t>
  </si>
  <si>
    <t>Jména</t>
  </si>
  <si>
    <t>Namen</t>
  </si>
  <si>
    <t>Punk.</t>
  </si>
  <si>
    <t>ERGEBNISSE - TSCHECHISCH VERBAND RADSPORT</t>
  </si>
  <si>
    <t>o soutěži v kolové:</t>
  </si>
  <si>
    <t>konané dne:</t>
  </si>
  <si>
    <t xml:space="preserve">CZECH CYCLING FEDERATION 
</t>
  </si>
  <si>
    <t>Rem.</t>
  </si>
  <si>
    <t>Prohry</t>
  </si>
  <si>
    <t>Č.</t>
  </si>
  <si>
    <t>Prosím pro jazyk zadejte číslo v buňce $L$2 (CZ=1, D=2, EN=3 )</t>
  </si>
  <si>
    <t>Bitte die Nr. der gewünschten $L$2 eingeben (CZ=1,D=2,EN=3)</t>
  </si>
  <si>
    <t>Please for language enter number $L$2 (CZ=1,D=2,EN=3)</t>
  </si>
  <si>
    <t>Commissaire:</t>
  </si>
  <si>
    <t>Chief commissaire:</t>
  </si>
  <si>
    <t>Time-keeper :</t>
  </si>
  <si>
    <t>Secretary:</t>
  </si>
  <si>
    <t>Date:</t>
  </si>
  <si>
    <t>Sports club:</t>
  </si>
  <si>
    <t>Size of the field:</t>
  </si>
  <si>
    <t xml:space="preserve">Match times: </t>
  </si>
  <si>
    <t>Sports club</t>
  </si>
  <si>
    <t>Team members</t>
  </si>
  <si>
    <t>Name</t>
  </si>
  <si>
    <t>Results</t>
  </si>
  <si>
    <t>Poitns</t>
  </si>
  <si>
    <t>Score</t>
  </si>
  <si>
    <t>Various</t>
  </si>
  <si>
    <t>Ranking</t>
  </si>
  <si>
    <t>Final rankings</t>
  </si>
  <si>
    <t>R.</t>
  </si>
  <si>
    <t>Names</t>
  </si>
  <si>
    <t>Count</t>
  </si>
  <si>
    <t>Win</t>
  </si>
  <si>
    <t>Draw</t>
  </si>
  <si>
    <t>Loss</t>
  </si>
  <si>
    <t>Tourney-cycle-ball:</t>
  </si>
  <si>
    <t>Chief-Kommissär:</t>
  </si>
  <si>
    <t>Organizer:</t>
  </si>
  <si>
    <t>Buňky obsahují vzorce</t>
  </si>
  <si>
    <t>Nr.</t>
  </si>
  <si>
    <t>No.</t>
  </si>
  <si>
    <t>1. Manschaft</t>
  </si>
  <si>
    <t>1.Team</t>
  </si>
  <si>
    <t>2. Manschaft</t>
  </si>
  <si>
    <t>2.Team</t>
  </si>
  <si>
    <t>Commissaire</t>
  </si>
  <si>
    <t>Tore-Halbzeit</t>
  </si>
  <si>
    <t>Score half-times</t>
  </si>
  <si>
    <t>1. Man.</t>
  </si>
  <si>
    <t>2. Man.</t>
  </si>
  <si>
    <t>Halbzeit</t>
  </si>
  <si>
    <t>Half-times</t>
  </si>
  <si>
    <t>DANEBEN DRUCKFLÄCHE</t>
  </si>
  <si>
    <t>EXCEPT AREA PRINTING</t>
  </si>
  <si>
    <t>Ansatz Teams</t>
  </si>
  <si>
    <t xml:space="preserve">Setting teams
</t>
  </si>
  <si>
    <t>Kontrolle der Anzahl Kampf</t>
  </si>
  <si>
    <t>Control of the number of matchs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</si>
  <si>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</si>
  <si>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</si>
  <si>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</si>
  <si>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</si>
  <si>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</si>
  <si>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</si>
  <si>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</si>
  <si>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</si>
  <si>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</si>
  <si>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</si>
  <si>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</si>
  <si>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</si>
  <si>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</si>
  <si>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</si>
  <si>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1. družstvo</t>
  </si>
  <si>
    <t>2. družstvo</t>
  </si>
  <si>
    <t>1. Team</t>
  </si>
  <si>
    <t>2. Team</t>
  </si>
  <si>
    <t>nebo podle výsledku vzájemného utkání</t>
  </si>
  <si>
    <t>-</t>
  </si>
  <si>
    <t>Výhra</t>
  </si>
  <si>
    <t>Prohra</t>
  </si>
  <si>
    <t>Remíza</t>
  </si>
  <si>
    <t>počet</t>
  </si>
  <si>
    <t>výhra</t>
  </si>
  <si>
    <t>remíza</t>
  </si>
  <si>
    <t>prohra</t>
  </si>
  <si>
    <r>
      <t xml:space="preserve">Buňky </t>
    </r>
    <r>
      <rPr>
        <b/>
        <sz val="10"/>
        <color indexed="10"/>
        <rFont val="Arial CE"/>
        <charset val="238"/>
      </rPr>
      <t>obsahují vzorce</t>
    </r>
  </si>
  <si>
    <t>body</t>
  </si>
  <si>
    <t>branky</t>
  </si>
  <si>
    <t>Výhry</t>
  </si>
  <si>
    <t>tělovýchovným spolkem - klubem:</t>
  </si>
  <si>
    <t>Těl. spolek - klub</t>
  </si>
  <si>
    <t>minut</t>
  </si>
  <si>
    <t>x</t>
  </si>
  <si>
    <t>m</t>
  </si>
  <si>
    <t>Kontrola:</t>
  </si>
  <si>
    <t>Kontrolle:</t>
  </si>
  <si>
    <t>Control:</t>
  </si>
  <si>
    <t>Prosím pro jazyk zadejte číslo</t>
  </si>
  <si>
    <t>Bitte die Nr. der gewünschten Sprache eingeben</t>
  </si>
  <si>
    <t>Please for language enter number</t>
  </si>
  <si>
    <r>
      <t>"</t>
    </r>
    <r>
      <rPr>
        <b/>
        <u/>
        <sz val="11"/>
        <color indexed="10"/>
        <rFont val="Arial CE"/>
        <charset val="238"/>
      </rPr>
      <t>Horší místo</t>
    </r>
    <r>
      <rPr>
        <b/>
        <sz val="10"/>
        <color indexed="10"/>
        <rFont val="Arial CE"/>
        <charset val="238"/>
      </rPr>
      <t>" přepište dle skóre a více vstř. branek</t>
    </r>
  </si>
  <si>
    <t>Při hlášení buňky</t>
  </si>
  <si>
    <t>Zkontrolujte sestavy družstev</t>
  </si>
  <si>
    <t>OPRAVTE pořadí (místo) u horšího družstva = červené pole</t>
  </si>
  <si>
    <t>22.</t>
  </si>
  <si>
    <t>23.</t>
  </si>
  <si>
    <t>24.</t>
  </si>
  <si>
    <t>25.</t>
  </si>
  <si>
    <t>26.</t>
  </si>
  <si>
    <t>27.</t>
  </si>
  <si>
    <t>28.</t>
  </si>
  <si>
    <t>Pořadí zápasů - 8 družstev</t>
  </si>
  <si>
    <t>Spielplan - 8 Teams</t>
  </si>
  <si>
    <t>Sequence matchs - 8 teams</t>
  </si>
  <si>
    <t>"Podmíněné formátování"</t>
  </si>
  <si>
    <t>Družstvo se načte z listu "Pořadí…"</t>
  </si>
  <si>
    <t>Doplňte jména a č. reg.</t>
  </si>
  <si>
    <r>
      <t>ČERVENÁ BUŇKA "Místo"JE PŘI ROVNOSTI BOD</t>
    </r>
    <r>
      <rPr>
        <b/>
        <sz val="10"/>
        <rFont val="Arial"/>
        <family val="2"/>
        <charset val="238"/>
      </rPr>
      <t>Ů</t>
    </r>
  </si>
  <si>
    <t>Výsledky se načtou z listu "Pořadí…"</t>
  </si>
  <si>
    <t>NEBO vyplňujte pouze pravou horní část tabulky.</t>
  </si>
  <si>
    <t>viz list "Protokol"</t>
  </si>
  <si>
    <t>NEBO za vzorec v buňce u horšího vepište +1 (+2, +3 atd.)</t>
  </si>
  <si>
    <t>CZ = 1 ; DE = 2 ; EN = 3</t>
  </si>
  <si>
    <t>doba hry</t>
  </si>
  <si>
    <t>prázdné</t>
  </si>
  <si>
    <t>Lokomotiva Liberec</t>
  </si>
  <si>
    <t>SK SC PRIMA Nezamyslice</t>
  </si>
  <si>
    <t>Mlékárna Olešnice cykloklub Svitávka</t>
  </si>
  <si>
    <t>Sálová cyklistika Svitávka</t>
  </si>
  <si>
    <t>TJ Favorit Brno</t>
  </si>
  <si>
    <t>TJ MILO Olomouc</t>
  </si>
  <si>
    <t>TJ Pankrác Praha</t>
  </si>
  <si>
    <t>TJ Sokol Šitbořice</t>
  </si>
  <si>
    <t>TJ Sokol Zlín-Prštné</t>
  </si>
  <si>
    <t>TJ Spartak Chrastava</t>
  </si>
  <si>
    <t>TJ Spartak Přerov</t>
  </si>
  <si>
    <t>TJ START Plzeň</t>
  </si>
  <si>
    <t>UCI-ID</t>
  </si>
  <si>
    <t>Počet utkání</t>
  </si>
  <si>
    <t>upřesní hl. rozhodčí</t>
  </si>
  <si>
    <t>Celkem</t>
  </si>
  <si>
    <t>Šabata Matěj</t>
  </si>
  <si>
    <t>Sokol Šitbořice 1</t>
  </si>
  <si>
    <t>Sokol Šitbořice 2</t>
  </si>
  <si>
    <t>Doležal Vítek</t>
  </si>
  <si>
    <t xml:space="preserve">Doležal Mikuláš </t>
  </si>
  <si>
    <t>ŽÁCI - MČR kvalifikace "B" Morava a Slezsko</t>
  </si>
  <si>
    <t>Sokol Zlín Prštné 1</t>
  </si>
  <si>
    <t>MILO Olomouc 1</t>
  </si>
  <si>
    <t>Sokol Zlín Prštné 2</t>
  </si>
  <si>
    <t>SC Svitávka</t>
  </si>
  <si>
    <t>MILO Olomouc 2</t>
  </si>
  <si>
    <t>Mistr OLK</t>
  </si>
  <si>
    <t>Mistr ZLK</t>
  </si>
  <si>
    <t>Mistr JMK</t>
  </si>
  <si>
    <t>2. v MK OLK</t>
  </si>
  <si>
    <t>2. v MK ZLK</t>
  </si>
  <si>
    <t>2. v MK JMK</t>
  </si>
  <si>
    <t>3. v MK JMK</t>
  </si>
  <si>
    <t>Kat: ŽÁCI
MČR-kv.B</t>
  </si>
  <si>
    <t>Startovné družstev á 400,- Kč uhrazeno. Náhrady rozhodčím á 400,- Kč vyplaceny podle STS ČSC.</t>
  </si>
  <si>
    <t xml:space="preserve">Klesnil Vilém </t>
  </si>
  <si>
    <t xml:space="preserve">Sedláček Jan </t>
  </si>
  <si>
    <t>Klesnil Lukáš</t>
  </si>
  <si>
    <t>Šimlík Bohdan</t>
  </si>
  <si>
    <t xml:space="preserve">Struhařová Sára </t>
  </si>
  <si>
    <t>Fuksa Karel</t>
  </si>
  <si>
    <t>Kučera Vít</t>
  </si>
  <si>
    <t>Šitbořice</t>
  </si>
  <si>
    <t>SK Chodov</t>
  </si>
  <si>
    <t>Zvolánek Robert</t>
  </si>
  <si>
    <t>Date:
17.5.2026</t>
  </si>
  <si>
    <t>4. v MK JMK</t>
  </si>
  <si>
    <t xml:space="preserve">Hobza Robert </t>
  </si>
  <si>
    <t>Cettl Jakub</t>
  </si>
  <si>
    <t>čl.pr.TJ/SP</t>
  </si>
  <si>
    <t>Klain Patrik</t>
  </si>
  <si>
    <t>Mayer Václav</t>
  </si>
  <si>
    <t>Sokol Šitbořice 3</t>
  </si>
  <si>
    <t>Prvních 5 družstev postupuje do Finále MČR dne 6.6.2026 v Chrastavě</t>
  </si>
  <si>
    <t>Samsonek Vít</t>
  </si>
  <si>
    <t>Zelinka Jan</t>
  </si>
  <si>
    <t>Berger Karel</t>
  </si>
  <si>
    <t>Šebek Martin</t>
  </si>
  <si>
    <t>Ondlevec Jiří</t>
  </si>
  <si>
    <t>Šebek</t>
  </si>
  <si>
    <t>Ondlevec</t>
  </si>
  <si>
    <t>Berger</t>
  </si>
  <si>
    <t>Družstvo Sokol Zlín Prštné 2 nestartovalo</t>
  </si>
  <si>
    <t>Kyzlink Filip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</si>
</sst>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4"/>
      <color indexed="56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Wingdings"/>
      <charset val="2"/>
    </font>
    <font>
      <sz val="10"/>
      <color indexed="56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10"/>
      <name val="Arial CE"/>
      <family val="2"/>
      <charset val="238"/>
    </font>
    <font>
      <sz val="1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20"/>
      <name val="Arial MT CE Black"/>
      <family val="2"/>
      <charset val="238"/>
    </font>
    <font>
      <sz val="20"/>
      <name val="Arial CE"/>
      <charset val="238"/>
    </font>
    <font>
      <sz val="8"/>
      <name val="Arial CE"/>
      <charset val="238"/>
    </font>
    <font>
      <b/>
      <sz val="11"/>
      <name val="Arial CE"/>
      <charset val="238"/>
    </font>
    <font>
      <sz val="8"/>
      <color indexed="8"/>
      <name val="Arial CE"/>
      <family val="2"/>
      <charset val="238"/>
    </font>
    <font>
      <b/>
      <sz val="18"/>
      <name val="Arial CE"/>
      <family val="2"/>
      <charset val="238"/>
    </font>
    <font>
      <sz val="9"/>
      <color indexed="8"/>
      <name val="Arial CE"/>
      <family val="2"/>
      <charset val="238"/>
    </font>
    <font>
      <sz val="8"/>
      <color indexed="9"/>
      <name val="Arial CE"/>
      <charset val="238"/>
    </font>
    <font>
      <b/>
      <sz val="10"/>
      <color indexed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  <font>
      <b/>
      <sz val="10"/>
      <name val="Arial"/>
      <family val="2"/>
      <charset val="238"/>
    </font>
    <font>
      <b/>
      <sz val="7"/>
      <name val="Arial CE"/>
      <charset val="238"/>
    </font>
    <font>
      <b/>
      <u/>
      <sz val="11"/>
      <color indexed="10"/>
      <name val="Arial CE"/>
      <charset val="238"/>
    </font>
    <font>
      <b/>
      <sz val="10"/>
      <color theme="0"/>
      <name val="Arial CE"/>
      <family val="2"/>
      <charset val="238"/>
    </font>
    <font>
      <b/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b/>
      <sz val="12"/>
      <color theme="0"/>
      <name val="Arial CE"/>
      <charset val="238"/>
    </font>
    <font>
      <sz val="10"/>
      <color theme="0"/>
      <name val="Arial CE"/>
      <charset val="238"/>
    </font>
    <font>
      <b/>
      <sz val="12"/>
      <color rgb="FF002060"/>
      <name val="Arial CE"/>
      <family val="2"/>
      <charset val="238"/>
    </font>
    <font>
      <sz val="10"/>
      <color rgb="FF002060"/>
      <name val="Arial CE"/>
      <family val="2"/>
      <charset val="238"/>
    </font>
    <font>
      <b/>
      <sz val="14"/>
      <color rgb="FF002060"/>
      <name val="Arial CE"/>
      <family val="2"/>
      <charset val="238"/>
    </font>
    <font>
      <b/>
      <sz val="12"/>
      <color rgb="FF002060"/>
      <name val="Arial CE"/>
      <charset val="238"/>
    </font>
    <font>
      <sz val="10"/>
      <color rgb="FF002060"/>
      <name val="Arial CE"/>
      <charset val="238"/>
    </font>
    <font>
      <b/>
      <sz val="11"/>
      <color rgb="FFFF0000"/>
      <name val="Arial CE"/>
      <charset val="238"/>
    </font>
    <font>
      <sz val="10"/>
      <color rgb="FF0000FF"/>
      <name val="Arial CE"/>
      <charset val="238"/>
    </font>
    <font>
      <b/>
      <sz val="10"/>
      <color rgb="FFFF0000"/>
      <name val="Arial CE"/>
      <charset val="238"/>
    </font>
    <font>
      <b/>
      <sz val="10"/>
      <color rgb="FF002060"/>
      <name val="Arial CE"/>
      <charset val="238"/>
    </font>
    <font>
      <sz val="12"/>
      <color rgb="FF002060"/>
      <name val="Arial CE"/>
      <charset val="238"/>
    </font>
    <font>
      <sz val="9"/>
      <color rgb="FF002060"/>
      <name val="System"/>
      <family val="2"/>
      <charset val="238"/>
    </font>
    <font>
      <sz val="10"/>
      <color rgb="FF003399"/>
      <name val="Arial CE"/>
      <family val="2"/>
      <charset val="238"/>
    </font>
    <font>
      <b/>
      <sz val="8"/>
      <color rgb="FFFF0000"/>
      <name val="Arial CE"/>
      <charset val="238"/>
    </font>
    <font>
      <sz val="10"/>
      <color rgb="FFFF0000"/>
      <name val="Arial CE"/>
      <charset val="238"/>
    </font>
    <font>
      <sz val="8"/>
      <color rgb="FFFF0000"/>
      <name val="Arial CE"/>
      <charset val="238"/>
    </font>
    <font>
      <sz val="12"/>
      <color rgb="FF002060"/>
      <name val="Arial CE"/>
      <family val="2"/>
      <charset val="238"/>
    </font>
    <font>
      <b/>
      <sz val="11"/>
      <color theme="0"/>
      <name val="Arial CE"/>
      <charset val="238"/>
    </font>
    <font>
      <b/>
      <sz val="10"/>
      <color theme="0"/>
      <name val="Arial CE"/>
      <charset val="238"/>
    </font>
    <font>
      <b/>
      <sz val="12"/>
      <color rgb="FF003366"/>
      <name val="Arial CE"/>
      <charset val="238"/>
    </font>
    <font>
      <b/>
      <sz val="11"/>
      <color rgb="FF002060"/>
      <name val="Arial"/>
      <family val="2"/>
      <charset val="238"/>
    </font>
    <font>
      <sz val="11"/>
      <color rgb="FF002060"/>
      <name val="Arial"/>
      <family val="2"/>
      <charset val="238"/>
    </font>
    <font>
      <b/>
      <sz val="11"/>
      <color rgb="FF002060"/>
      <name val="Arial CE"/>
      <family val="2"/>
      <charset val="238"/>
    </font>
    <font>
      <sz val="14"/>
      <name val="Arial CE"/>
      <charset val="238"/>
    </font>
    <font>
      <b/>
      <sz val="11"/>
      <color rgb="FF002060"/>
      <name val="Arial CE"/>
      <charset val="238"/>
    </font>
    <font>
      <b/>
      <sz val="8"/>
      <color rgb="FF002060"/>
      <name val="Arial CE"/>
      <family val="2"/>
      <charset val="238"/>
    </font>
    <font>
      <b/>
      <sz val="8"/>
      <color rgb="FF002060"/>
      <name val="Arial CE"/>
      <charset val="238"/>
    </font>
    <font>
      <sz val="11"/>
      <name val="Arial CE"/>
      <charset val="238"/>
    </font>
    <font>
      <sz val="9"/>
      <color rgb="FF002060"/>
      <name val="Arial CE"/>
      <charset val="238"/>
    </font>
    <font>
      <b/>
      <sz val="11"/>
      <color rgb="FFFF0000"/>
      <name val="Arial"/>
      <family val="2"/>
      <charset val="238"/>
    </font>
    <font>
      <i/>
      <sz val="10"/>
      <name val="Arial CE"/>
      <charset val="238"/>
    </font>
    <font>
      <b/>
      <sz val="14"/>
      <color rgb="FFFF0000"/>
      <name val="Arial CE"/>
      <charset val="238"/>
    </font>
    <font>
      <sz val="12"/>
      <color rgb="FF000058"/>
      <name val="Arial CE"/>
      <charset val="238"/>
    </font>
    <font>
      <sz val="12"/>
      <color rgb="FF000058"/>
      <name val="Arial CE"/>
      <family val="2"/>
      <charset val="238"/>
    </font>
    <font>
      <sz val="9"/>
      <color rgb="FF000058"/>
      <name val="Arial CE"/>
      <charset val="238"/>
    </font>
    <font>
      <b/>
      <sz val="8"/>
      <color rgb="FF000058"/>
      <name val="Arial CE"/>
      <charset val="238"/>
    </font>
    <font>
      <sz val="11"/>
      <color rgb="FF002060"/>
      <name val="Arial CE"/>
      <charset val="238"/>
    </font>
    <font>
      <b/>
      <sz val="11"/>
      <color rgb="FF000058"/>
      <name val="Arial CE"/>
      <charset val="238"/>
    </font>
    <font>
      <b/>
      <sz val="14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1FFD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3" fillId="0" borderId="0"/>
  </cellStyleXfs>
  <cellXfs count="340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Continuous"/>
    </xf>
    <xf numFmtId="0" fontId="0" fillId="0" borderId="0" xfId="0" applyBorder="1"/>
    <xf numFmtId="0" fontId="0" fillId="0" borderId="0" xfId="0" applyBorder="1" applyAlignment="1"/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2" fillId="0" borderId="0" xfId="0" applyFont="1"/>
    <xf numFmtId="0" fontId="3" fillId="0" borderId="0" xfId="0" applyFont="1"/>
    <xf numFmtId="0" fontId="0" fillId="0" borderId="0" xfId="0" applyBorder="1" applyProtection="1">
      <protection locked="0"/>
    </xf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1" fillId="0" borderId="6" xfId="0" applyFont="1" applyBorder="1" applyAlignment="1">
      <alignment horizontal="centerContinuous"/>
    </xf>
    <xf numFmtId="0" fontId="0" fillId="0" borderId="0" xfId="0" applyProtection="1"/>
    <xf numFmtId="0" fontId="0" fillId="0" borderId="0" xfId="0" applyFill="1" applyProtection="1"/>
    <xf numFmtId="0" fontId="3" fillId="0" borderId="0" xfId="0" applyFont="1" applyProtection="1"/>
    <xf numFmtId="0" fontId="8" fillId="0" borderId="0" xfId="0" applyFont="1" applyAlignment="1">
      <alignment horizontal="center"/>
    </xf>
    <xf numFmtId="0" fontId="9" fillId="0" borderId="7" xfId="0" applyFont="1" applyBorder="1" applyProtection="1">
      <protection locked="0"/>
    </xf>
    <xf numFmtId="0" fontId="11" fillId="0" borderId="5" xfId="0" applyFont="1" applyBorder="1" applyAlignment="1">
      <alignment horizontal="centerContinuous"/>
    </xf>
    <xf numFmtId="0" fontId="12" fillId="0" borderId="0" xfId="0" applyFont="1"/>
    <xf numFmtId="0" fontId="11" fillId="0" borderId="4" xfId="0" applyFont="1" applyBorder="1" applyAlignment="1">
      <alignment horizontal="centerContinuous"/>
    </xf>
    <xf numFmtId="49" fontId="13" fillId="0" borderId="0" xfId="0" applyNumberFormat="1" applyFont="1" applyFill="1" applyAlignment="1">
      <alignment horizontal="center" vertical="center"/>
    </xf>
    <xf numFmtId="0" fontId="13" fillId="0" borderId="8" xfId="0" applyFont="1" applyFill="1" applyBorder="1"/>
    <xf numFmtId="0" fontId="1" fillId="0" borderId="6" xfId="0" applyFont="1" applyBorder="1" applyAlignment="1"/>
    <xf numFmtId="0" fontId="33" fillId="0" borderId="7" xfId="0" applyFont="1" applyBorder="1" applyProtection="1">
      <protection locked="0"/>
    </xf>
    <xf numFmtId="0" fontId="34" fillId="0" borderId="7" xfId="0" applyFont="1" applyBorder="1" applyProtection="1">
      <protection locked="0"/>
    </xf>
    <xf numFmtId="0" fontId="34" fillId="0" borderId="0" xfId="0" applyFont="1" applyProtection="1"/>
    <xf numFmtId="0" fontId="1" fillId="0" borderId="12" xfId="0" applyFont="1" applyBorder="1" applyAlignment="1">
      <alignment horizontal="center"/>
    </xf>
    <xf numFmtId="0" fontId="17" fillId="0" borderId="6" xfId="0" applyFont="1" applyBorder="1" applyAlignment="1">
      <alignment horizontal="centerContinuous" vertical="center"/>
    </xf>
    <xf numFmtId="0" fontId="18" fillId="0" borderId="0" xfId="0" applyFont="1" applyBorder="1" applyAlignment="1">
      <alignment vertical="center"/>
    </xf>
    <xf numFmtId="0" fontId="15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Continuous" vertical="center"/>
    </xf>
    <xf numFmtId="0" fontId="18" fillId="0" borderId="5" xfId="0" applyFont="1" applyFill="1" applyBorder="1" applyAlignment="1">
      <alignment horizontal="centerContinuous" vertical="center"/>
    </xf>
    <xf numFmtId="0" fontId="18" fillId="0" borderId="0" xfId="0" applyFont="1" applyFill="1" applyBorder="1" applyAlignment="1">
      <alignment vertical="center"/>
    </xf>
    <xf numFmtId="0" fontId="1" fillId="0" borderId="3" xfId="0" applyFont="1" applyBorder="1" applyAlignment="1"/>
    <xf numFmtId="0" fontId="0" fillId="0" borderId="10" xfId="0" applyBorder="1" applyAlignment="1">
      <alignment horizontal="center"/>
    </xf>
    <xf numFmtId="0" fontId="19" fillId="3" borderId="0" xfId="0" applyFont="1" applyFill="1"/>
    <xf numFmtId="0" fontId="4" fillId="0" borderId="10" xfId="0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1" fillId="0" borderId="0" xfId="0" applyNumberFormat="1" applyFont="1" applyBorder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0" fillId="4" borderId="0" xfId="0" applyFill="1"/>
    <xf numFmtId="0" fontId="20" fillId="0" borderId="0" xfId="0" applyFont="1" applyAlignment="1">
      <alignment horizontal="right"/>
    </xf>
    <xf numFmtId="0" fontId="20" fillId="0" borderId="0" xfId="0" applyFont="1" applyAlignment="1" applyProtection="1">
      <alignment horizontal="right"/>
    </xf>
    <xf numFmtId="0" fontId="5" fillId="0" borderId="10" xfId="0" applyNumberFormat="1" applyFont="1" applyBorder="1" applyAlignment="1">
      <alignment horizontal="center"/>
    </xf>
    <xf numFmtId="0" fontId="35" fillId="5" borderId="0" xfId="0" applyFont="1" applyFill="1"/>
    <xf numFmtId="0" fontId="36" fillId="5" borderId="0" xfId="0" applyFont="1" applyFill="1"/>
    <xf numFmtId="0" fontId="21" fillId="0" borderId="0" xfId="0" applyFont="1" applyFill="1" applyBorder="1" applyAlignment="1"/>
    <xf numFmtId="0" fontId="0" fillId="0" borderId="0" xfId="0" applyAlignment="1"/>
    <xf numFmtId="0" fontId="19" fillId="0" borderId="0" xfId="0" applyFont="1" applyAlignment="1"/>
    <xf numFmtId="49" fontId="16" fillId="0" borderId="0" xfId="0" applyNumberFormat="1" applyFont="1" applyFill="1" applyBorder="1" applyAlignment="1">
      <alignment horizontal="center"/>
    </xf>
    <xf numFmtId="0" fontId="18" fillId="4" borderId="0" xfId="0" applyFont="1" applyFill="1" applyBorder="1" applyAlignment="1">
      <alignment vertical="center"/>
    </xf>
    <xf numFmtId="0" fontId="12" fillId="4" borderId="0" xfId="0" applyFont="1" applyFill="1"/>
    <xf numFmtId="0" fontId="37" fillId="0" borderId="7" xfId="0" applyFont="1" applyBorder="1" applyProtection="1">
      <protection locked="0"/>
    </xf>
    <xf numFmtId="0" fontId="38" fillId="0" borderId="7" xfId="0" applyFont="1" applyBorder="1" applyProtection="1">
      <protection locked="0"/>
    </xf>
    <xf numFmtId="0" fontId="39" fillId="0" borderId="7" xfId="0" applyFont="1" applyBorder="1" applyProtection="1">
      <protection locked="0"/>
    </xf>
    <xf numFmtId="0" fontId="40" fillId="0" borderId="7" xfId="0" applyFont="1" applyBorder="1" applyProtection="1">
      <protection locked="0"/>
    </xf>
    <xf numFmtId="0" fontId="41" fillId="0" borderId="7" xfId="0" applyFont="1" applyBorder="1" applyProtection="1">
      <protection locked="0"/>
    </xf>
    <xf numFmtId="0" fontId="23" fillId="0" borderId="0" xfId="0" applyFont="1" applyFill="1" applyBorder="1" applyAlignment="1"/>
    <xf numFmtId="0" fontId="16" fillId="0" borderId="0" xfId="0" applyFont="1" applyAlignment="1"/>
    <xf numFmtId="0" fontId="16" fillId="0" borderId="0" xfId="0" applyFont="1"/>
    <xf numFmtId="0" fontId="23" fillId="0" borderId="0" xfId="0" applyNumberFormat="1" applyFont="1" applyBorder="1" applyAlignment="1"/>
    <xf numFmtId="0" fontId="0" fillId="6" borderId="0" xfId="0" applyFill="1" applyAlignment="1"/>
    <xf numFmtId="0" fontId="12" fillId="6" borderId="0" xfId="0" applyFont="1" applyFill="1" applyAlignment="1"/>
    <xf numFmtId="0" fontId="12" fillId="0" borderId="0" xfId="0" applyFont="1" applyAlignment="1"/>
    <xf numFmtId="0" fontId="19" fillId="0" borderId="0" xfId="0" applyFont="1" applyAlignment="1">
      <alignment wrapText="1"/>
    </xf>
    <xf numFmtId="0" fontId="24" fillId="6" borderId="0" xfId="0" applyFont="1" applyFill="1" applyAlignment="1"/>
    <xf numFmtId="0" fontId="16" fillId="0" borderId="9" xfId="0" applyFont="1" applyFill="1" applyBorder="1"/>
    <xf numFmtId="0" fontId="16" fillId="0" borderId="11" xfId="0" applyFont="1" applyFill="1" applyBorder="1" applyAlignment="1">
      <alignment horizontal="right"/>
    </xf>
    <xf numFmtId="0" fontId="32" fillId="0" borderId="4" xfId="0" applyFont="1" applyBorder="1" applyAlignment="1">
      <alignment horizontal="centerContinuous"/>
    </xf>
    <xf numFmtId="0" fontId="32" fillId="0" borderId="5" xfId="0" applyFont="1" applyBorder="1" applyAlignment="1">
      <alignment horizontal="centerContinuous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39" fillId="0" borderId="17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1" fontId="11" fillId="2" borderId="18" xfId="0" applyNumberFormat="1" applyFont="1" applyFill="1" applyBorder="1" applyAlignment="1" applyProtection="1">
      <alignment horizontal="center" vertical="center"/>
      <protection locked="0"/>
    </xf>
    <xf numFmtId="1" fontId="11" fillId="2" borderId="17" xfId="0" applyNumberFormat="1" applyFont="1" applyFill="1" applyBorder="1" applyAlignment="1">
      <alignment horizontal="center" vertical="center"/>
    </xf>
    <xf numFmtId="1" fontId="11" fillId="0" borderId="18" xfId="0" applyNumberFormat="1" applyFont="1" applyFill="1" applyBorder="1" applyAlignment="1" applyProtection="1">
      <alignment horizontal="center" vertical="center"/>
      <protection locked="0"/>
    </xf>
    <xf numFmtId="1" fontId="11" fillId="0" borderId="17" xfId="0" applyNumberFormat="1" applyFont="1" applyFill="1" applyBorder="1" applyAlignment="1">
      <alignment horizontal="center" vertical="center"/>
    </xf>
    <xf numFmtId="1" fontId="11" fillId="0" borderId="17" xfId="0" applyNumberFormat="1" applyFont="1" applyFill="1" applyBorder="1" applyAlignment="1" applyProtection="1">
      <alignment horizontal="center" vertical="center"/>
      <protection locked="0"/>
    </xf>
    <xf numFmtId="1" fontId="32" fillId="0" borderId="18" xfId="0" applyNumberFormat="1" applyFont="1" applyFill="1" applyBorder="1" applyAlignment="1" applyProtection="1">
      <alignment horizontal="center" vertical="center"/>
      <protection locked="0"/>
    </xf>
    <xf numFmtId="1" fontId="32" fillId="0" borderId="17" xfId="0" applyNumberFormat="1" applyFont="1" applyFill="1" applyBorder="1" applyAlignment="1">
      <alignment horizontal="center" vertical="center"/>
    </xf>
    <xf numFmtId="1" fontId="32" fillId="0" borderId="19" xfId="0" applyNumberFormat="1" applyFont="1" applyFill="1" applyBorder="1" applyAlignment="1" applyProtection="1">
      <alignment horizontal="center" vertical="center"/>
      <protection locked="0"/>
    </xf>
    <xf numFmtId="1" fontId="2" fillId="0" borderId="19" xfId="0" applyNumberFormat="1" applyFont="1" applyFill="1" applyBorder="1" applyAlignment="1">
      <alignment horizontal="center" vertical="center"/>
    </xf>
    <xf numFmtId="49" fontId="11" fillId="0" borderId="17" xfId="0" applyNumberFormat="1" applyFont="1" applyFill="1" applyBorder="1" applyAlignment="1">
      <alignment horizontal="center" vertical="center"/>
    </xf>
    <xf numFmtId="1" fontId="11" fillId="0" borderId="8" xfId="0" applyNumberFormat="1" applyFont="1" applyBorder="1" applyAlignment="1" applyProtection="1">
      <alignment horizontal="center" vertical="center"/>
    </xf>
    <xf numFmtId="1" fontId="11" fillId="0" borderId="9" xfId="0" applyNumberFormat="1" applyFont="1" applyBorder="1" applyAlignment="1" applyProtection="1">
      <alignment horizontal="center" vertical="center"/>
    </xf>
    <xf numFmtId="1" fontId="11" fillId="2" borderId="8" xfId="0" applyNumberFormat="1" applyFont="1" applyFill="1" applyBorder="1" applyAlignment="1" applyProtection="1">
      <alignment horizontal="center" vertical="center"/>
    </xf>
    <xf numFmtId="1" fontId="11" fillId="2" borderId="9" xfId="0" applyNumberFormat="1" applyFont="1" applyFill="1" applyBorder="1" applyAlignment="1">
      <alignment horizontal="center" vertical="center"/>
    </xf>
    <xf numFmtId="1" fontId="11" fillId="0" borderId="8" xfId="0" applyNumberFormat="1" applyFont="1" applyBorder="1" applyAlignment="1" applyProtection="1">
      <alignment horizontal="center" vertical="center"/>
      <protection locked="0"/>
    </xf>
    <xf numFmtId="1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 applyProtection="1">
      <alignment horizontal="center" vertical="center"/>
      <protection locked="0"/>
    </xf>
    <xf numFmtId="1" fontId="11" fillId="0" borderId="8" xfId="0" applyNumberFormat="1" applyFont="1" applyFill="1" applyBorder="1" applyAlignment="1" applyProtection="1">
      <alignment horizontal="center" vertical="center"/>
      <protection locked="0"/>
    </xf>
    <xf numFmtId="1" fontId="32" fillId="0" borderId="8" xfId="0" applyNumberFormat="1" applyFont="1" applyBorder="1" applyAlignment="1" applyProtection="1">
      <alignment horizontal="center" vertical="center"/>
      <protection locked="0"/>
    </xf>
    <xf numFmtId="1" fontId="32" fillId="0" borderId="9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1" fontId="11" fillId="2" borderId="8" xfId="0" applyNumberFormat="1" applyFont="1" applyFill="1" applyBorder="1" applyAlignment="1">
      <alignment horizontal="center" vertical="center"/>
    </xf>
    <xf numFmtId="1" fontId="11" fillId="0" borderId="9" xfId="0" applyNumberFormat="1" applyFont="1" applyFill="1" applyBorder="1" applyAlignment="1" applyProtection="1">
      <alignment horizontal="center" vertical="center"/>
      <protection locked="0"/>
    </xf>
    <xf numFmtId="1" fontId="32" fillId="0" borderId="8" xfId="0" applyNumberFormat="1" applyFont="1" applyFill="1" applyBorder="1" applyAlignment="1" applyProtection="1">
      <alignment horizontal="center" vertical="center"/>
      <protection locked="0"/>
    </xf>
    <xf numFmtId="1" fontId="10" fillId="2" borderId="8" xfId="0" applyNumberFormat="1" applyFont="1" applyFill="1" applyBorder="1" applyAlignment="1">
      <alignment horizontal="center" vertical="center"/>
    </xf>
    <xf numFmtId="1" fontId="10" fillId="2" borderId="9" xfId="0" applyNumberFormat="1" applyFont="1" applyFill="1" applyBorder="1" applyAlignment="1">
      <alignment horizontal="center" vertical="center"/>
    </xf>
    <xf numFmtId="0" fontId="45" fillId="0" borderId="20" xfId="0" applyFont="1" applyBorder="1" applyProtection="1">
      <protection locked="0"/>
    </xf>
    <xf numFmtId="0" fontId="45" fillId="0" borderId="0" xfId="0" applyFont="1" applyBorder="1" applyProtection="1">
      <protection locked="0"/>
    </xf>
    <xf numFmtId="0" fontId="11" fillId="0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49" fontId="0" fillId="0" borderId="0" xfId="0" applyNumberFormat="1"/>
    <xf numFmtId="49" fontId="18" fillId="0" borderId="5" xfId="0" applyNumberFormat="1" applyFont="1" applyFill="1" applyBorder="1" applyAlignment="1">
      <alignment horizontal="centerContinuous" vertical="center"/>
    </xf>
    <xf numFmtId="0" fontId="15" fillId="7" borderId="22" xfId="0" applyFont="1" applyFill="1" applyBorder="1" applyAlignment="1">
      <alignment horizontal="left"/>
    </xf>
    <xf numFmtId="1" fontId="11" fillId="0" borderId="10" xfId="0" applyNumberFormat="1" applyFont="1" applyFill="1" applyBorder="1" applyAlignment="1">
      <alignment horizontal="center"/>
    </xf>
    <xf numFmtId="0" fontId="13" fillId="0" borderId="10" xfId="0" applyNumberFormat="1" applyFont="1" applyFill="1" applyBorder="1" applyAlignment="1" applyProtection="1">
      <alignment horizontal="center"/>
      <protection locked="0"/>
    </xf>
    <xf numFmtId="0" fontId="48" fillId="0" borderId="7" xfId="0" applyFont="1" applyBorder="1" applyAlignment="1" applyProtection="1">
      <protection locked="0"/>
    </xf>
    <xf numFmtId="0" fontId="5" fillId="0" borderId="0" xfId="0" applyFont="1" applyAlignment="1">
      <alignment wrapText="1"/>
    </xf>
    <xf numFmtId="0" fontId="37" fillId="0" borderId="18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7" fillId="0" borderId="19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" fillId="8" borderId="0" xfId="0" applyFont="1" applyFill="1"/>
    <xf numFmtId="1" fontId="0" fillId="0" borderId="0" xfId="0" applyNumberFormat="1"/>
    <xf numFmtId="49" fontId="0" fillId="0" borderId="0" xfId="0" applyNumberFormat="1" applyAlignment="1">
      <alignment horizontal="right"/>
    </xf>
    <xf numFmtId="0" fontId="0" fillId="0" borderId="8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11" fillId="0" borderId="9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45" fillId="0" borderId="0" xfId="0" applyFont="1" applyAlignment="1">
      <alignment horizontal="right"/>
    </xf>
    <xf numFmtId="0" fontId="19" fillId="0" borderId="0" xfId="0" applyFont="1" applyBorder="1" applyAlignment="1"/>
    <xf numFmtId="0" fontId="0" fillId="0" borderId="0" xfId="0" applyBorder="1" applyAlignment="1">
      <alignment horizontal="center"/>
    </xf>
    <xf numFmtId="0" fontId="45" fillId="5" borderId="0" xfId="0" applyFont="1" applyFill="1" applyAlignment="1">
      <alignment horizontal="center"/>
    </xf>
    <xf numFmtId="0" fontId="45" fillId="0" borderId="0" xfId="0" applyFont="1" applyFill="1" applyBorder="1" applyAlignment="1">
      <alignment horizontal="right"/>
    </xf>
    <xf numFmtId="0" fontId="5" fillId="0" borderId="10" xfId="0" applyFont="1" applyBorder="1" applyAlignment="1">
      <alignment horizontal="left"/>
    </xf>
    <xf numFmtId="1" fontId="32" fillId="0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11" fillId="0" borderId="17" xfId="0" applyNumberFormat="1" applyFont="1" applyBorder="1" applyAlignment="1">
      <alignment horizontal="right" vertical="center"/>
    </xf>
    <xf numFmtId="0" fontId="11" fillId="0" borderId="9" xfId="0" applyNumberFormat="1" applyFont="1" applyBorder="1" applyAlignment="1">
      <alignment horizontal="right" vertical="center"/>
    </xf>
    <xf numFmtId="0" fontId="13" fillId="0" borderId="0" xfId="0" applyNumberFormat="1" applyFont="1" applyAlignment="1">
      <alignment horizontal="center" vertical="center"/>
    </xf>
    <xf numFmtId="0" fontId="16" fillId="0" borderId="8" xfId="0" applyNumberFormat="1" applyFont="1" applyFill="1" applyBorder="1" applyAlignment="1">
      <alignment horizontal="right"/>
    </xf>
    <xf numFmtId="0" fontId="0" fillId="9" borderId="0" xfId="0" applyNumberFormat="1" applyFill="1"/>
    <xf numFmtId="0" fontId="0" fillId="9" borderId="0" xfId="0" applyFill="1"/>
    <xf numFmtId="0" fontId="49" fillId="0" borderId="24" xfId="0" applyFont="1" applyBorder="1" applyAlignment="1"/>
    <xf numFmtId="0" fontId="0" fillId="0" borderId="24" xfId="0" applyBorder="1" applyAlignment="1">
      <alignment horizontal="center"/>
    </xf>
    <xf numFmtId="0" fontId="50" fillId="0" borderId="24" xfId="0" applyFont="1" applyBorder="1" applyAlignment="1">
      <alignment horizontal="center"/>
    </xf>
    <xf numFmtId="0" fontId="48" fillId="0" borderId="0" xfId="0" applyFont="1" applyBorder="1" applyAlignment="1" applyProtection="1">
      <protection locked="0"/>
    </xf>
    <xf numFmtId="0" fontId="51" fillId="0" borderId="0" xfId="0" applyFont="1" applyAlignment="1"/>
    <xf numFmtId="0" fontId="40" fillId="0" borderId="25" xfId="0" applyFont="1" applyBorder="1" applyProtection="1">
      <protection locked="0"/>
    </xf>
    <xf numFmtId="0" fontId="0" fillId="0" borderId="25" xfId="0" applyBorder="1"/>
    <xf numFmtId="0" fontId="41" fillId="0" borderId="25" xfId="0" applyFont="1" applyBorder="1" applyProtection="1">
      <protection locked="0"/>
    </xf>
    <xf numFmtId="0" fontId="2" fillId="0" borderId="26" xfId="0" applyFont="1" applyBorder="1"/>
    <xf numFmtId="0" fontId="6" fillId="0" borderId="26" xfId="0" applyFont="1" applyBorder="1" applyProtection="1">
      <protection locked="0"/>
    </xf>
    <xf numFmtId="0" fontId="2" fillId="0" borderId="26" xfId="0" applyFont="1" applyBorder="1" applyProtection="1">
      <protection locked="0"/>
    </xf>
    <xf numFmtId="0" fontId="30" fillId="0" borderId="4" xfId="0" applyFont="1" applyBorder="1" applyAlignment="1">
      <alignment horizontal="centerContinuous"/>
    </xf>
    <xf numFmtId="0" fontId="30" fillId="0" borderId="5" xfId="0" applyFont="1" applyBorder="1" applyAlignment="1">
      <alignment horizontal="centerContinuous"/>
    </xf>
    <xf numFmtId="0" fontId="30" fillId="0" borderId="27" xfId="0" applyFont="1" applyBorder="1" applyAlignment="1">
      <alignment horizontal="center"/>
    </xf>
    <xf numFmtId="0" fontId="22" fillId="7" borderId="41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44" fillId="8" borderId="0" xfId="0" applyFont="1" applyFill="1"/>
    <xf numFmtId="0" fontId="37" fillId="0" borderId="7" xfId="0" applyFont="1" applyBorder="1" applyAlignment="1" applyProtection="1">
      <protection locked="0"/>
    </xf>
    <xf numFmtId="0" fontId="1" fillId="0" borderId="0" xfId="0" applyFont="1" applyProtection="1"/>
    <xf numFmtId="0" fontId="0" fillId="5" borderId="0" xfId="0" applyFill="1"/>
    <xf numFmtId="0" fontId="53" fillId="5" borderId="0" xfId="0" applyFont="1" applyFill="1"/>
    <xf numFmtId="0" fontId="54" fillId="5" borderId="0" xfId="0" applyFont="1" applyFill="1"/>
    <xf numFmtId="0" fontId="16" fillId="0" borderId="10" xfId="0" applyNumberFormat="1" applyFont="1" applyFill="1" applyBorder="1" applyAlignment="1">
      <alignment horizontal="center"/>
    </xf>
    <xf numFmtId="0" fontId="16" fillId="0" borderId="9" xfId="0" applyNumberFormat="1" applyFont="1" applyFill="1" applyBorder="1"/>
    <xf numFmtId="0" fontId="16" fillId="0" borderId="11" xfId="0" applyNumberFormat="1" applyFont="1" applyFill="1" applyBorder="1" applyAlignment="1">
      <alignment horizontal="right"/>
    </xf>
    <xf numFmtId="0" fontId="0" fillId="0" borderId="0" xfId="0" applyNumberFormat="1"/>
    <xf numFmtId="0" fontId="1" fillId="0" borderId="0" xfId="0" applyFont="1" applyAlignment="1">
      <alignment horizontal="center"/>
    </xf>
    <xf numFmtId="0" fontId="57" fillId="0" borderId="7" xfId="0" applyFont="1" applyBorder="1"/>
    <xf numFmtId="0" fontId="56" fillId="0" borderId="7" xfId="0" applyFont="1" applyBorder="1" applyProtection="1">
      <protection locked="0"/>
    </xf>
    <xf numFmtId="0" fontId="57" fillId="0" borderId="25" xfId="0" applyFont="1" applyBorder="1"/>
    <xf numFmtId="0" fontId="56" fillId="0" borderId="25" xfId="0" applyFont="1" applyBorder="1" applyProtection="1">
      <protection locked="0"/>
    </xf>
    <xf numFmtId="0" fontId="58" fillId="0" borderId="18" xfId="0" applyFont="1" applyBorder="1" applyAlignment="1" applyProtection="1">
      <alignment horizontal="left" vertical="center"/>
      <protection locked="0"/>
    </xf>
    <xf numFmtId="0" fontId="58" fillId="0" borderId="8" xfId="0" applyFont="1" applyBorder="1" applyAlignment="1" applyProtection="1">
      <alignment horizontal="left" vertical="center"/>
      <protection locked="0"/>
    </xf>
    <xf numFmtId="0" fontId="39" fillId="0" borderId="42" xfId="0" applyFont="1" applyBorder="1" applyAlignment="1">
      <alignment horizontal="center"/>
    </xf>
    <xf numFmtId="0" fontId="37" fillId="0" borderId="42" xfId="0" applyFont="1" applyBorder="1" applyAlignment="1" applyProtection="1">
      <alignment horizontal="left"/>
      <protection locked="0"/>
    </xf>
    <xf numFmtId="0" fontId="52" fillId="0" borderId="43" xfId="0" applyFont="1" applyBorder="1" applyAlignment="1"/>
    <xf numFmtId="0" fontId="52" fillId="0" borderId="44" xfId="0" applyFont="1" applyBorder="1" applyAlignment="1"/>
    <xf numFmtId="0" fontId="39" fillId="0" borderId="45" xfId="0" applyFont="1" applyBorder="1" applyAlignment="1">
      <alignment horizontal="center"/>
    </xf>
    <xf numFmtId="0" fontId="52" fillId="0" borderId="25" xfId="0" applyFont="1" applyBorder="1" applyAlignment="1"/>
    <xf numFmtId="0" fontId="52" fillId="0" borderId="46" xfId="0" applyFont="1" applyBorder="1" applyAlignment="1"/>
    <xf numFmtId="0" fontId="30" fillId="0" borderId="47" xfId="0" applyNumberFormat="1" applyFont="1" applyBorder="1" applyAlignment="1">
      <alignment horizontal="center"/>
    </xf>
    <xf numFmtId="0" fontId="59" fillId="7" borderId="41" xfId="0" applyFont="1" applyFill="1" applyBorder="1" applyAlignment="1" applyProtection="1">
      <alignment horizontal="center" vertical="center"/>
      <protection locked="0"/>
    </xf>
    <xf numFmtId="0" fontId="55" fillId="0" borderId="7" xfId="0" applyFont="1" applyBorder="1" applyAlignment="1" applyProtection="1">
      <alignment horizontal="left"/>
      <protection locked="0"/>
    </xf>
    <xf numFmtId="0" fontId="40" fillId="0" borderId="25" xfId="0" applyFont="1" applyBorder="1" applyAlignment="1" applyProtection="1">
      <alignment horizontal="center"/>
      <protection locked="0"/>
    </xf>
    <xf numFmtId="0" fontId="40" fillId="0" borderId="7" xfId="0" applyFont="1" applyBorder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11" borderId="0" xfId="0" applyFill="1"/>
    <xf numFmtId="0" fontId="1" fillId="11" borderId="0" xfId="0" applyNumberFormat="1" applyFont="1" applyFill="1" applyBorder="1" applyAlignment="1">
      <alignment horizontal="left"/>
    </xf>
    <xf numFmtId="0" fontId="1" fillId="11" borderId="0" xfId="0" quotePrefix="1" applyNumberFormat="1" applyFont="1" applyFill="1" applyBorder="1" applyAlignment="1">
      <alignment horizontal="left"/>
    </xf>
    <xf numFmtId="0" fontId="60" fillId="0" borderId="25" xfId="0" applyFont="1" applyBorder="1" applyProtection="1">
      <protection locked="0"/>
    </xf>
    <xf numFmtId="0" fontId="38" fillId="0" borderId="0" xfId="0" applyFont="1" applyBorder="1" applyProtection="1">
      <protection locked="0"/>
    </xf>
    <xf numFmtId="0" fontId="37" fillId="0" borderId="45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3" fillId="0" borderId="10" xfId="0" applyFont="1" applyFill="1" applyBorder="1" applyAlignment="1">
      <alignment horizontal="right" vertical="center"/>
    </xf>
    <xf numFmtId="0" fontId="0" fillId="0" borderId="0" xfId="0" applyFont="1" applyProtection="1"/>
    <xf numFmtId="0" fontId="63" fillId="0" borderId="0" xfId="0" applyFont="1" applyAlignment="1" applyProtection="1">
      <alignment horizontal="right"/>
    </xf>
    <xf numFmtId="0" fontId="11" fillId="12" borderId="10" xfId="0" applyFont="1" applyFill="1" applyBorder="1" applyAlignment="1">
      <alignment horizontal="left"/>
    </xf>
    <xf numFmtId="0" fontId="0" fillId="12" borderId="8" xfId="0" applyFont="1" applyFill="1" applyBorder="1" applyAlignment="1">
      <alignment horizontal="left"/>
    </xf>
    <xf numFmtId="0" fontId="0" fillId="12" borderId="9" xfId="0" applyFont="1" applyFill="1" applyBorder="1" applyAlignment="1">
      <alignment horizontal="left"/>
    </xf>
    <xf numFmtId="0" fontId="13" fillId="12" borderId="9" xfId="0" applyFont="1" applyFill="1" applyBorder="1" applyAlignment="1">
      <alignment horizontal="left"/>
    </xf>
    <xf numFmtId="0" fontId="13" fillId="12" borderId="11" xfId="0" applyFont="1" applyFill="1" applyBorder="1" applyAlignment="1">
      <alignment horizontal="left"/>
    </xf>
    <xf numFmtId="1" fontId="11" fillId="12" borderId="10" xfId="0" applyNumberFormat="1" applyFont="1" applyFill="1" applyBorder="1" applyAlignment="1">
      <alignment horizontal="center"/>
    </xf>
    <xf numFmtId="0" fontId="11" fillId="12" borderId="9" xfId="0" applyNumberFormat="1" applyFont="1" applyFill="1" applyBorder="1" applyAlignment="1">
      <alignment horizontal="center"/>
    </xf>
    <xf numFmtId="0" fontId="13" fillId="12" borderId="10" xfId="0" applyNumberFormat="1" applyFont="1" applyFill="1" applyBorder="1" applyAlignment="1" applyProtection="1">
      <alignment horizontal="center"/>
      <protection locked="0"/>
    </xf>
    <xf numFmtId="0" fontId="49" fillId="3" borderId="5" xfId="0" applyFont="1" applyFill="1" applyBorder="1" applyAlignment="1">
      <alignment horizontal="center" vertical="center"/>
    </xf>
    <xf numFmtId="0" fontId="1" fillId="0" borderId="0" xfId="0" applyFont="1"/>
    <xf numFmtId="0" fontId="1" fillId="13" borderId="0" xfId="0" applyFont="1" applyFill="1" applyBorder="1" applyAlignment="1">
      <alignment horizontal="center"/>
    </xf>
    <xf numFmtId="0" fontId="1" fillId="14" borderId="10" xfId="0" applyFont="1" applyFill="1" applyBorder="1" applyAlignment="1">
      <alignment horizontal="center"/>
    </xf>
    <xf numFmtId="0" fontId="64" fillId="0" borderId="25" xfId="0" applyFont="1" applyBorder="1" applyAlignment="1"/>
    <xf numFmtId="0" fontId="65" fillId="0" borderId="7" xfId="0" applyFont="1" applyBorder="1" applyProtection="1">
      <protection locked="0"/>
    </xf>
    <xf numFmtId="0" fontId="1" fillId="0" borderId="0" xfId="0" applyFont="1" applyFill="1"/>
    <xf numFmtId="0" fontId="66" fillId="0" borderId="0" xfId="0" applyFont="1"/>
    <xf numFmtId="0" fontId="60" fillId="0" borderId="45" xfId="0" applyFont="1" applyBorder="1" applyAlignment="1" applyProtection="1">
      <alignment horizontal="left"/>
      <protection locked="0"/>
    </xf>
    <xf numFmtId="0" fontId="60" fillId="0" borderId="25" xfId="0" applyFont="1" applyBorder="1" applyAlignment="1"/>
    <xf numFmtId="0" fontId="64" fillId="0" borderId="46" xfId="0" applyFont="1" applyBorder="1" applyAlignment="1"/>
    <xf numFmtId="0" fontId="60" fillId="0" borderId="45" xfId="0" applyFont="1" applyBorder="1" applyAlignment="1" applyProtection="1">
      <protection locked="0"/>
    </xf>
    <xf numFmtId="0" fontId="60" fillId="0" borderId="46" xfId="0" applyFont="1" applyBorder="1" applyAlignment="1"/>
    <xf numFmtId="0" fontId="60" fillId="0" borderId="25" xfId="0" applyFont="1" applyBorder="1" applyAlignment="1" applyProtection="1">
      <protection locked="0"/>
    </xf>
    <xf numFmtId="0" fontId="0" fillId="0" borderId="0" xfId="0" applyFont="1"/>
    <xf numFmtId="0" fontId="68" fillId="0" borderId="25" xfId="0" applyFont="1" applyFill="1" applyBorder="1" applyAlignment="1" applyProtection="1">
      <alignment horizontal="left"/>
      <protection locked="0"/>
    </xf>
    <xf numFmtId="0" fontId="69" fillId="0" borderId="25" xfId="0" applyFont="1" applyFill="1" applyBorder="1" applyAlignment="1" applyProtection="1">
      <alignment horizontal="left"/>
      <protection locked="0"/>
    </xf>
    <xf numFmtId="0" fontId="70" fillId="0" borderId="46" xfId="0" applyFont="1" applyFill="1" applyBorder="1" applyAlignment="1" applyProtection="1">
      <alignment horizontal="center"/>
      <protection locked="0"/>
    </xf>
    <xf numFmtId="0" fontId="72" fillId="0" borderId="25" xfId="0" applyFont="1" applyBorder="1" applyAlignment="1"/>
    <xf numFmtId="0" fontId="64" fillId="0" borderId="25" xfId="0" applyFont="1" applyFill="1" applyBorder="1" applyAlignment="1">
      <alignment horizontal="right"/>
    </xf>
    <xf numFmtId="0" fontId="72" fillId="0" borderId="46" xfId="0" applyFont="1" applyBorder="1" applyAlignment="1"/>
    <xf numFmtId="0" fontId="73" fillId="0" borderId="45" xfId="0" applyFont="1" applyFill="1" applyBorder="1" applyAlignment="1" applyProtection="1">
      <alignment horizontal="left"/>
      <protection locked="0"/>
    </xf>
    <xf numFmtId="0" fontId="11" fillId="12" borderId="10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1" fillId="12" borderId="10" xfId="0" applyFont="1" applyFill="1" applyBorder="1" applyAlignment="1">
      <alignment horizontal="left"/>
    </xf>
    <xf numFmtId="0" fontId="0" fillId="12" borderId="9" xfId="0" applyFill="1" applyBorder="1" applyAlignment="1">
      <alignment horizontal="left"/>
    </xf>
    <xf numFmtId="0" fontId="0" fillId="12" borderId="11" xfId="0" applyFill="1" applyBorder="1" applyAlignment="1">
      <alignment horizontal="left"/>
    </xf>
    <xf numFmtId="0" fontId="1" fillId="12" borderId="9" xfId="0" applyNumberFormat="1" applyFont="1" applyFill="1" applyBorder="1" applyAlignment="1">
      <alignment horizontal="center"/>
    </xf>
    <xf numFmtId="0" fontId="74" fillId="0" borderId="7" xfId="0" applyFont="1" applyBorder="1" applyProtection="1">
      <protection locked="0"/>
    </xf>
    <xf numFmtId="0" fontId="40" fillId="0" borderId="7" xfId="0" applyFont="1" applyBorder="1" applyAlignment="1" applyProtection="1">
      <protection locked="0"/>
    </xf>
    <xf numFmtId="0" fontId="37" fillId="0" borderId="7" xfId="0" applyFont="1" applyBorder="1" applyProtection="1">
      <protection locked="0"/>
    </xf>
    <xf numFmtId="0" fontId="40" fillId="0" borderId="7" xfId="0" applyFont="1" applyBorder="1" applyProtection="1">
      <protection locked="0"/>
    </xf>
    <xf numFmtId="0" fontId="46" fillId="0" borderId="10" xfId="0" applyFont="1" applyBorder="1" applyAlignment="1">
      <alignment horizontal="left" vertical="center"/>
    </xf>
    <xf numFmtId="49" fontId="47" fillId="0" borderId="10" xfId="0" applyNumberFormat="1" applyFont="1" applyBorder="1" applyAlignment="1">
      <alignment horizontal="center" vertical="center"/>
    </xf>
    <xf numFmtId="1" fontId="40" fillId="0" borderId="8" xfId="0" applyNumberFormat="1" applyFont="1" applyBorder="1" applyAlignment="1">
      <alignment horizontal="center" vertical="center"/>
    </xf>
    <xf numFmtId="1" fontId="40" fillId="0" borderId="11" xfId="0" applyNumberFormat="1" applyFont="1" applyBorder="1" applyAlignment="1">
      <alignment horizontal="center" vertical="center"/>
    </xf>
    <xf numFmtId="49" fontId="40" fillId="0" borderId="9" xfId="0" applyNumberFormat="1" applyFont="1" applyBorder="1" applyAlignment="1">
      <alignment horizontal="center" vertical="center"/>
    </xf>
    <xf numFmtId="1" fontId="40" fillId="0" borderId="9" xfId="0" applyNumberFormat="1" applyFont="1" applyBorder="1" applyAlignment="1">
      <alignment horizontal="center" vertical="center"/>
    </xf>
    <xf numFmtId="0" fontId="60" fillId="0" borderId="45" xfId="0" applyFont="1" applyBorder="1" applyProtection="1">
      <protection locked="0"/>
    </xf>
    <xf numFmtId="0" fontId="72" fillId="0" borderId="25" xfId="0" applyFont="1" applyBorder="1"/>
    <xf numFmtId="0" fontId="64" fillId="0" borderId="25" xfId="0" applyFont="1" applyBorder="1" applyAlignment="1">
      <alignment horizontal="right"/>
    </xf>
    <xf numFmtId="0" fontId="72" fillId="0" borderId="46" xfId="0" applyFont="1" applyBorder="1"/>
    <xf numFmtId="0" fontId="11" fillId="0" borderId="10" xfId="0" applyFont="1" applyFill="1" applyBorder="1" applyAlignment="1">
      <alignment horizontal="center"/>
    </xf>
    <xf numFmtId="0" fontId="5" fillId="0" borderId="8" xfId="0" applyFont="1" applyBorder="1" applyAlignment="1"/>
    <xf numFmtId="0" fontId="19" fillId="0" borderId="9" xfId="0" applyFont="1" applyBorder="1" applyAlignment="1"/>
    <xf numFmtId="0" fontId="19" fillId="0" borderId="11" xfId="0" applyFont="1" applyBorder="1" applyAlignment="1"/>
    <xf numFmtId="0" fontId="11" fillId="12" borderId="10" xfId="0" applyFont="1" applyFill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62" fillId="0" borderId="48" xfId="0" applyFont="1" applyFill="1" applyBorder="1" applyAlignment="1" applyProtection="1">
      <alignment horizontal="center"/>
      <protection locked="0"/>
    </xf>
    <xf numFmtId="0" fontId="62" fillId="0" borderId="49" xfId="0" applyFont="1" applyFill="1" applyBorder="1" applyAlignment="1" applyProtection="1">
      <alignment horizontal="center"/>
      <protection locked="0"/>
    </xf>
    <xf numFmtId="0" fontId="62" fillId="0" borderId="45" xfId="0" applyFont="1" applyBorder="1" applyAlignment="1" applyProtection="1">
      <alignment horizontal="center"/>
      <protection locked="0"/>
    </xf>
    <xf numFmtId="0" fontId="62" fillId="0" borderId="46" xfId="0" applyFont="1" applyBorder="1" applyAlignment="1" applyProtection="1">
      <alignment horizontal="center"/>
      <protection locked="0"/>
    </xf>
    <xf numFmtId="0" fontId="22" fillId="0" borderId="6" xfId="0" applyFont="1" applyBorder="1" applyAlignment="1">
      <alignment horizontal="left" vertical="center" indent="1"/>
    </xf>
    <xf numFmtId="0" fontId="14" fillId="0" borderId="5" xfId="0" applyFont="1" applyBorder="1" applyAlignment="1">
      <alignment horizontal="left" indent="1"/>
    </xf>
    <xf numFmtId="0" fontId="14" fillId="0" borderId="3" xfId="0" applyFont="1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15" fillId="0" borderId="29" xfId="0" applyFont="1" applyBorder="1" applyAlignment="1">
      <alignment horizontal="center"/>
    </xf>
    <xf numFmtId="0" fontId="61" fillId="0" borderId="45" xfId="0" applyFont="1" applyBorder="1" applyAlignment="1" applyProtection="1">
      <alignment horizontal="center"/>
      <protection locked="0"/>
    </xf>
    <xf numFmtId="0" fontId="61" fillId="0" borderId="4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5" fillId="0" borderId="7" xfId="0" applyFont="1" applyBorder="1" applyAlignment="1" applyProtection="1">
      <alignment horizontal="left"/>
      <protection locked="0"/>
    </xf>
    <xf numFmtId="0" fontId="62" fillId="0" borderId="45" xfId="0" applyNumberFormat="1" applyFont="1" applyFill="1" applyBorder="1" applyAlignment="1" applyProtection="1">
      <alignment horizontal="center"/>
      <protection locked="0"/>
    </xf>
    <xf numFmtId="0" fontId="62" fillId="0" borderId="25" xfId="0" applyNumberFormat="1" applyFont="1" applyFill="1" applyBorder="1" applyAlignment="1" applyProtection="1">
      <alignment horizontal="center"/>
      <protection locked="0"/>
    </xf>
    <xf numFmtId="0" fontId="62" fillId="0" borderId="46" xfId="0" applyNumberFormat="1" applyFont="1" applyFill="1" applyBorder="1" applyAlignment="1" applyProtection="1">
      <alignment horizontal="center"/>
      <protection locked="0"/>
    </xf>
    <xf numFmtId="0" fontId="71" fillId="0" borderId="45" xfId="0" applyFont="1" applyFill="1" applyBorder="1" applyAlignment="1" applyProtection="1">
      <alignment horizontal="center"/>
      <protection locked="0"/>
    </xf>
    <xf numFmtId="0" fontId="71" fillId="0" borderId="25" xfId="0" applyFont="1" applyFill="1" applyBorder="1" applyAlignment="1" applyProtection="1">
      <alignment horizontal="center"/>
      <protection locked="0"/>
    </xf>
    <xf numFmtId="0" fontId="71" fillId="0" borderId="46" xfId="0" applyFont="1" applyFill="1" applyBorder="1" applyAlignment="1" applyProtection="1">
      <alignment horizontal="center"/>
      <protection locked="0"/>
    </xf>
    <xf numFmtId="0" fontId="62" fillId="0" borderId="45" xfId="0" applyFont="1" applyFill="1" applyBorder="1" applyAlignment="1" applyProtection="1">
      <alignment horizontal="center"/>
      <protection locked="0"/>
    </xf>
    <xf numFmtId="0" fontId="62" fillId="0" borderId="25" xfId="0" applyFont="1" applyFill="1" applyBorder="1" applyAlignment="1" applyProtection="1">
      <alignment horizontal="center"/>
      <protection locked="0"/>
    </xf>
    <xf numFmtId="0" fontId="62" fillId="0" borderId="46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2" fillId="0" borderId="45" xfId="0" applyNumberFormat="1" applyFont="1" applyBorder="1" applyAlignment="1" applyProtection="1">
      <alignment horizontal="center"/>
      <protection locked="0"/>
    </xf>
    <xf numFmtId="0" fontId="62" fillId="0" borderId="25" xfId="0" applyNumberFormat="1" applyFont="1" applyBorder="1" applyAlignment="1" applyProtection="1">
      <alignment horizontal="center"/>
      <protection locked="0"/>
    </xf>
    <xf numFmtId="0" fontId="62" fillId="0" borderId="46" xfId="0" applyNumberFormat="1" applyFont="1" applyBorder="1" applyAlignment="1" applyProtection="1">
      <alignment horizontal="center"/>
      <protection locked="0"/>
    </xf>
    <xf numFmtId="0" fontId="61" fillId="0" borderId="45" xfId="0" applyFont="1" applyFill="1" applyBorder="1" applyAlignment="1" applyProtection="1">
      <alignment horizontal="center"/>
      <protection locked="0"/>
    </xf>
    <xf numFmtId="0" fontId="61" fillId="0" borderId="46" xfId="0" applyFont="1" applyFill="1" applyBorder="1" applyAlignment="1" applyProtection="1">
      <alignment horizontal="center"/>
      <protection locked="0"/>
    </xf>
    <xf numFmtId="0" fontId="67" fillId="0" borderId="7" xfId="0" applyFont="1" applyBorder="1" applyAlignment="1" applyProtection="1">
      <alignment horizontal="left"/>
      <protection locked="0"/>
    </xf>
    <xf numFmtId="0" fontId="50" fillId="0" borderId="7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0" fillId="0" borderId="5" xfId="0" applyBorder="1" applyAlignment="1"/>
    <xf numFmtId="0" fontId="0" fillId="0" borderId="28" xfId="0" applyBorder="1" applyAlignment="1"/>
    <xf numFmtId="0" fontId="1" fillId="0" borderId="5" xfId="0" applyFont="1" applyBorder="1" applyAlignment="1">
      <alignment horizontal="center"/>
    </xf>
    <xf numFmtId="14" fontId="39" fillId="0" borderId="7" xfId="0" applyNumberFormat="1" applyFont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28" xfId="0" applyBorder="1" applyAlignment="1">
      <alignment horizontal="center"/>
    </xf>
    <xf numFmtId="0" fontId="33" fillId="0" borderId="7" xfId="0" applyFont="1" applyBorder="1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0" fontId="33" fillId="0" borderId="7" xfId="0" applyFont="1" applyBorder="1" applyAlignment="1" applyProtection="1">
      <protection locked="0"/>
    </xf>
    <xf numFmtId="0" fontId="0" fillId="0" borderId="7" xfId="0" applyBorder="1" applyAlignment="1"/>
    <xf numFmtId="0" fontId="26" fillId="10" borderId="6" xfId="0" applyFont="1" applyFill="1" applyBorder="1" applyAlignment="1">
      <alignment horizontal="left" vertical="top" wrapText="1"/>
    </xf>
    <xf numFmtId="0" fontId="0" fillId="10" borderId="5" xfId="0" applyFill="1" applyBorder="1" applyAlignment="1">
      <alignment horizontal="left" vertical="top" wrapText="1"/>
    </xf>
    <xf numFmtId="0" fontId="0" fillId="10" borderId="3" xfId="0" applyFill="1" applyBorder="1" applyAlignment="1">
      <alignment horizontal="left" vertical="top" wrapText="1"/>
    </xf>
    <xf numFmtId="0" fontId="17" fillId="10" borderId="6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19" fillId="0" borderId="21" xfId="0" applyFont="1" applyBorder="1" applyAlignment="1"/>
    <xf numFmtId="0" fontId="1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49" fontId="1" fillId="0" borderId="34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2">
    <cellStyle name="Excel Built-in Normal" xfId="1"/>
    <cellStyle name="Normální" xfId="0" builtinId="0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1FFD1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1289050</xdr:colOff>
      <xdr:row>55</xdr:row>
      <xdr:rowOff>215900</xdr:rowOff>
    </xdr:from>
    <xdr:to>
      <xdr:col>35</xdr:col>
      <xdr:colOff>2705100</xdr:colOff>
      <xdr:row>57</xdr:row>
      <xdr:rowOff>0</xdr:rowOff>
    </xdr:to>
    <xdr:pic>
      <xdr:nvPicPr>
        <xdr:cNvPr id="4876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1500" y="12611100"/>
          <a:ext cx="14160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0</xdr:colOff>
      <xdr:row>1</xdr:row>
      <xdr:rowOff>8467</xdr:rowOff>
    </xdr:from>
    <xdr:to>
      <xdr:col>33</xdr:col>
      <xdr:colOff>344579</xdr:colOff>
      <xdr:row>1</xdr:row>
      <xdr:rowOff>368467</xdr:rowOff>
    </xdr:to>
    <xdr:pic>
      <xdr:nvPicPr>
        <xdr:cNvPr id="4" name="Picture 2" descr="D:\DOKUMENTY-VILD\KOLOVÁ - Lokomotiva\Loga\Logo kolová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6400" y="127000"/>
          <a:ext cx="344579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169333</xdr:colOff>
      <xdr:row>3</xdr:row>
      <xdr:rowOff>110067</xdr:rowOff>
    </xdr:from>
    <xdr:to>
      <xdr:col>33</xdr:col>
      <xdr:colOff>433942</xdr:colOff>
      <xdr:row>8</xdr:row>
      <xdr:rowOff>220134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88000" y="753534"/>
          <a:ext cx="1670075" cy="1244600"/>
        </a:xfrm>
        <a:prstGeom prst="rect">
          <a:avLst/>
        </a:prstGeom>
      </xdr:spPr>
    </xdr:pic>
    <xdr:clientData/>
  </xdr:twoCellAnchor>
  <xdr:twoCellAnchor editAs="oneCell">
    <xdr:from>
      <xdr:col>1</xdr:col>
      <xdr:colOff>440266</xdr:colOff>
      <xdr:row>63</xdr:row>
      <xdr:rowOff>135467</xdr:rowOff>
    </xdr:from>
    <xdr:to>
      <xdr:col>32</xdr:col>
      <xdr:colOff>177799</xdr:colOff>
      <xdr:row>67</xdr:row>
      <xdr:rowOff>67733</xdr:rowOff>
    </xdr:to>
    <xdr:pic>
      <xdr:nvPicPr>
        <xdr:cNvPr id="9" name="Obrázek 8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8133" y="14071600"/>
          <a:ext cx="5985933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3"/>
  <sheetViews>
    <sheetView showGridLines="0" tabSelected="1" zoomScale="90" zoomScaleNormal="90" workbookViewId="0">
      <selection activeCell="AJ18" sqref="AJ18"/>
    </sheetView>
  </sheetViews>
  <sheetFormatPr defaultRowHeight="13.2"/>
  <cols>
    <col min="1" max="1" width="4.21875" customWidth="1"/>
    <col min="2" max="2" width="20.44140625" customWidth="1"/>
    <col min="3" max="3" width="3" customWidth="1"/>
    <col min="4" max="4" width="0.77734375" customWidth="1"/>
    <col min="5" max="6" width="3" customWidth="1"/>
    <col min="7" max="7" width="0.77734375" customWidth="1"/>
    <col min="8" max="9" width="3" customWidth="1"/>
    <col min="10" max="10" width="0.77734375" customWidth="1"/>
    <col min="11" max="12" width="3" customWidth="1"/>
    <col min="13" max="13" width="0.77734375" customWidth="1"/>
    <col min="14" max="15" width="3" customWidth="1"/>
    <col min="16" max="16" width="0.77734375" customWidth="1"/>
    <col min="17" max="17" width="3.88671875" customWidth="1"/>
    <col min="18" max="18" width="3" customWidth="1"/>
    <col min="19" max="19" width="0.77734375" customWidth="1"/>
    <col min="20" max="21" width="3" customWidth="1"/>
    <col min="22" max="22" width="0.77734375" customWidth="1"/>
    <col min="23" max="24" width="3" customWidth="1"/>
    <col min="25" max="25" width="0.77734375" customWidth="1"/>
    <col min="26" max="27" width="3" customWidth="1"/>
    <col min="28" max="28" width="0.77734375" customWidth="1"/>
    <col min="29" max="29" width="3" customWidth="1"/>
    <col min="30" max="30" width="5" customWidth="1"/>
    <col min="31" max="31" width="3.77734375" style="4" customWidth="1"/>
    <col min="32" max="32" width="0.77734375" customWidth="1"/>
    <col min="33" max="33" width="4.21875" style="4" customWidth="1"/>
    <col min="34" max="34" width="6.44140625" customWidth="1"/>
    <col min="35" max="35" width="10.77734375" customWidth="1"/>
    <col min="36" max="36" width="47.77734375" customWidth="1"/>
    <col min="37" max="37" width="7.77734375" hidden="1" customWidth="1"/>
    <col min="38" max="43" width="10.77734375" hidden="1" customWidth="1"/>
    <col min="44" max="44" width="14.21875" hidden="1" customWidth="1"/>
    <col min="45" max="45" width="7.77734375" hidden="1" customWidth="1"/>
    <col min="46" max="46" width="13.77734375" hidden="1" customWidth="1"/>
    <col min="47" max="47" width="13" hidden="1" customWidth="1"/>
    <col min="48" max="48" width="11.21875" hidden="1" customWidth="1"/>
    <col min="49" max="49" width="9.21875" hidden="1" customWidth="1"/>
    <col min="50" max="52" width="9.21875" customWidth="1"/>
    <col min="53" max="53" width="2.77734375" customWidth="1"/>
    <col min="54" max="54" width="3.77734375" customWidth="1"/>
    <col min="55" max="62" width="8.77734375" customWidth="1"/>
    <col min="63" max="63" width="0.77734375" customWidth="1"/>
  </cols>
  <sheetData>
    <row r="1" spans="1:52" ht="9" customHeight="1" thickBot="1">
      <c r="AE1"/>
      <c r="AG1"/>
      <c r="AK1" s="174"/>
      <c r="AT1" s="42" t="s">
        <v>30</v>
      </c>
      <c r="AU1" s="42" t="s">
        <v>32</v>
      </c>
      <c r="AV1" s="42" t="s">
        <v>31</v>
      </c>
    </row>
    <row r="2" spans="1:52" ht="31.5" customHeight="1" thickBot="1">
      <c r="A2" s="30" t="str">
        <f>INDEX(AT5:AV5,$AJ$4)</f>
        <v xml:space="preserve">PROTOKOL - ČESKÝ SVAZ CYKLISTIKY  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3"/>
      <c r="AJ2" s="53" t="str">
        <f>INDEX(AT4:AV4,$AJ$4)</f>
        <v>MIMO OBLAST TISKU</v>
      </c>
      <c r="AM2" s="53"/>
      <c r="AN2" s="53"/>
      <c r="AO2" s="53"/>
      <c r="AP2" s="53"/>
      <c r="AQ2" s="53"/>
      <c r="AR2" s="54"/>
      <c r="AS2" s="49"/>
      <c r="AT2" s="49"/>
      <c r="AU2" s="49"/>
      <c r="AV2" s="49"/>
      <c r="AW2" s="56"/>
      <c r="AX2" s="56"/>
      <c r="AY2" s="56"/>
    </row>
    <row r="3" spans="1:52" ht="10.5" customHeight="1" thickBot="1">
      <c r="A3" s="9"/>
      <c r="B3" s="9"/>
      <c r="C3" s="9"/>
      <c r="D3" s="9"/>
      <c r="E3" s="9"/>
      <c r="F3" s="9"/>
      <c r="G3" s="9"/>
      <c r="H3" s="9"/>
      <c r="AE3"/>
      <c r="AG3"/>
      <c r="AJ3" s="48" t="str">
        <f>INDEX(AT3:AV3,$AJ$4)</f>
        <v>Prosím pro jazyk zadejte číslo</v>
      </c>
      <c r="AM3" s="200" t="s">
        <v>190</v>
      </c>
      <c r="AN3" s="201">
        <v>5</v>
      </c>
      <c r="AS3" s="49"/>
      <c r="AT3" s="66" t="s">
        <v>164</v>
      </c>
      <c r="AU3" s="69" t="s">
        <v>165</v>
      </c>
      <c r="AV3" s="67" t="s">
        <v>166</v>
      </c>
      <c r="AW3" s="67"/>
      <c r="AX3" s="67"/>
      <c r="AY3" s="68"/>
      <c r="AZ3" s="68"/>
    </row>
    <row r="4" spans="1:52" ht="20.100000000000001" customHeight="1" thickTop="1" thickBot="1">
      <c r="A4" s="9"/>
      <c r="B4" s="10" t="str">
        <f>INDEX(AT6:AV6,$AJ$4)</f>
        <v>o soutěži v kolové:</v>
      </c>
      <c r="C4" s="301" t="s">
        <v>213</v>
      </c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207"/>
      <c r="AE4" s="207"/>
      <c r="AF4" s="207"/>
      <c r="AG4" s="207"/>
      <c r="AH4" s="207"/>
      <c r="AJ4" s="169">
        <v>1</v>
      </c>
      <c r="AN4" s="201">
        <v>6</v>
      </c>
      <c r="AS4" s="49"/>
      <c r="AT4" s="56" t="s">
        <v>28</v>
      </c>
      <c r="AU4" s="56" t="s">
        <v>119</v>
      </c>
      <c r="AV4" s="56" t="s">
        <v>120</v>
      </c>
      <c r="AW4" s="56"/>
      <c r="AX4" s="56"/>
    </row>
    <row r="5" spans="1:52" ht="20.100000000000001" customHeight="1" thickTop="1">
      <c r="A5" s="9"/>
      <c r="B5" s="10" t="str">
        <f>INDEX(AT7:AV7,$AJ$4)</f>
        <v>konané dne:</v>
      </c>
      <c r="C5" s="307">
        <v>46159</v>
      </c>
      <c r="D5" s="307"/>
      <c r="E5" s="307"/>
      <c r="F5" s="307"/>
      <c r="G5" s="307"/>
      <c r="H5" s="307"/>
      <c r="I5" s="307"/>
      <c r="J5" s="307"/>
      <c r="K5" s="307"/>
      <c r="L5" s="62"/>
      <c r="M5" s="19"/>
      <c r="N5" s="170"/>
      <c r="O5" s="12" t="str">
        <f>INDEX(AT8:AV8,$AJ$4)</f>
        <v>v</v>
      </c>
      <c r="P5" s="170"/>
      <c r="Q5" s="64" t="s">
        <v>235</v>
      </c>
      <c r="R5" s="64"/>
      <c r="S5" s="64"/>
      <c r="T5" s="64"/>
      <c r="U5" s="65"/>
      <c r="V5" s="65"/>
      <c r="W5" s="65"/>
      <c r="X5" s="65"/>
      <c r="Y5" s="65"/>
      <c r="Z5" s="65"/>
      <c r="AA5" s="65"/>
      <c r="AB5" s="65"/>
      <c r="AC5" s="65"/>
      <c r="AE5"/>
      <c r="AG5"/>
      <c r="AJ5" s="181" t="s">
        <v>189</v>
      </c>
      <c r="AN5" s="201">
        <v>7</v>
      </c>
      <c r="AS5" s="49"/>
      <c r="AT5" s="57" t="s">
        <v>20</v>
      </c>
      <c r="AU5" s="57" t="s">
        <v>69</v>
      </c>
      <c r="AV5" s="57" t="s">
        <v>72</v>
      </c>
      <c r="AW5" s="57"/>
      <c r="AX5" s="56"/>
    </row>
    <row r="6" spans="1:52" ht="20.100000000000001" customHeight="1">
      <c r="A6" s="9"/>
      <c r="B6" s="10" t="str">
        <f>INDEX(AT9:AV9,$AJ$4)</f>
        <v>tělovýchovným spolkem - klubem:</v>
      </c>
      <c r="C6" s="9"/>
      <c r="D6" s="9"/>
      <c r="E6" s="163"/>
      <c r="F6" s="164"/>
      <c r="G6" s="165"/>
      <c r="H6" s="165"/>
      <c r="I6" s="11"/>
      <c r="J6" s="11"/>
      <c r="K6" s="284" t="s">
        <v>199</v>
      </c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197"/>
      <c r="AC6" s="197"/>
      <c r="AE6"/>
      <c r="AG6"/>
      <c r="AJ6" s="181"/>
      <c r="AM6" s="202" t="s">
        <v>191</v>
      </c>
      <c r="AN6" s="201"/>
      <c r="AS6" s="49"/>
      <c r="AT6" s="57" t="s">
        <v>70</v>
      </c>
      <c r="AU6" s="57" t="s">
        <v>39</v>
      </c>
      <c r="AV6" s="57" t="s">
        <v>102</v>
      </c>
      <c r="AW6" s="57"/>
      <c r="AX6" s="56"/>
    </row>
    <row r="7" spans="1:52" ht="20.100000000000001" customHeight="1">
      <c r="A7" s="9"/>
      <c r="B7" s="10" t="str">
        <f>INDEX(AT10:AV10,$AJ$4)</f>
        <v>hrací plocha:</v>
      </c>
      <c r="C7" s="312">
        <v>11</v>
      </c>
      <c r="D7" s="313"/>
      <c r="E7" s="199" t="s">
        <v>159</v>
      </c>
      <c r="F7" s="310">
        <v>14</v>
      </c>
      <c r="G7" s="311"/>
      <c r="H7" s="64" t="s">
        <v>160</v>
      </c>
      <c r="I7" s="63"/>
      <c r="J7" s="62"/>
      <c r="K7" s="61"/>
      <c r="L7" s="62"/>
      <c r="M7" s="4"/>
      <c r="N7" s="13"/>
      <c r="O7" s="4"/>
      <c r="P7" s="4"/>
      <c r="Q7" s="50" t="str">
        <f>INDEX(AT11:AV11,$AJ$4)</f>
        <v>doba hry:</v>
      </c>
      <c r="R7" s="160">
        <v>2</v>
      </c>
      <c r="S7" s="161"/>
      <c r="T7" s="160" t="s">
        <v>159</v>
      </c>
      <c r="U7" s="198">
        <v>5</v>
      </c>
      <c r="V7" s="162"/>
      <c r="W7" s="160" t="s">
        <v>158</v>
      </c>
      <c r="X7" s="160"/>
      <c r="Y7" s="65"/>
      <c r="Z7" s="65"/>
      <c r="AA7" s="65"/>
      <c r="AB7" s="65"/>
      <c r="AC7" s="65"/>
      <c r="AE7"/>
      <c r="AG7"/>
      <c r="AJ7" s="181"/>
      <c r="AM7" s="203" t="s">
        <v>156</v>
      </c>
      <c r="AN7" s="203"/>
      <c r="AS7" s="49"/>
      <c r="AT7" s="57" t="s">
        <v>71</v>
      </c>
      <c r="AU7" s="57" t="s">
        <v>40</v>
      </c>
      <c r="AV7" s="57" t="s">
        <v>83</v>
      </c>
      <c r="AW7" s="56"/>
      <c r="AX7" s="56"/>
    </row>
    <row r="8" spans="1:52" ht="9" customHeight="1" thickBot="1">
      <c r="AE8"/>
      <c r="AG8"/>
      <c r="AM8" s="202" t="s">
        <v>191</v>
      </c>
      <c r="AN8" s="204"/>
      <c r="AS8" s="49"/>
      <c r="AT8" s="57" t="s">
        <v>0</v>
      </c>
      <c r="AU8" s="57" t="s">
        <v>41</v>
      </c>
      <c r="AV8" s="57" t="s">
        <v>41</v>
      </c>
      <c r="AW8" s="57"/>
      <c r="AX8" s="56"/>
    </row>
    <row r="9" spans="1:52" ht="24" customHeight="1" thickBot="1">
      <c r="A9" s="275" t="str">
        <f>INDEX(AT12:AV12,$AJ$4)</f>
        <v>Startující</v>
      </c>
      <c r="B9" s="278"/>
      <c r="C9" s="278"/>
      <c r="D9" s="278"/>
      <c r="E9" s="278"/>
      <c r="F9" s="278"/>
      <c r="G9" s="278"/>
      <c r="H9" s="279"/>
      <c r="AE9"/>
      <c r="AG9"/>
      <c r="AN9" s="205" t="s">
        <v>192</v>
      </c>
      <c r="AS9" s="49"/>
      <c r="AT9" s="159" t="s">
        <v>156</v>
      </c>
      <c r="AU9" s="57" t="s">
        <v>65</v>
      </c>
      <c r="AV9" s="57" t="s">
        <v>84</v>
      </c>
      <c r="AW9" s="56"/>
      <c r="AX9" s="56"/>
    </row>
    <row r="10" spans="1:52" ht="9.75" customHeight="1" thickBot="1"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AE10"/>
      <c r="AG10"/>
      <c r="AN10" s="204" t="s">
        <v>194</v>
      </c>
      <c r="AS10" s="49"/>
      <c r="AT10" s="57" t="s">
        <v>43</v>
      </c>
      <c r="AU10" s="57" t="s">
        <v>42</v>
      </c>
      <c r="AV10" s="57" t="s">
        <v>85</v>
      </c>
      <c r="AW10" s="57"/>
      <c r="AX10" s="56"/>
    </row>
    <row r="11" spans="1:52" ht="13.5" customHeight="1" thickBot="1">
      <c r="A11" s="14"/>
      <c r="B11" s="303" t="str">
        <f>INDEX(AT13:AV13,$AJ$4)</f>
        <v>Těl. spolek - klub</v>
      </c>
      <c r="C11" s="304"/>
      <c r="D11" s="304"/>
      <c r="E11" s="305"/>
      <c r="F11" s="294" t="str">
        <f>INDEX(AT14:AV14,$AJ$4)</f>
        <v>JMÉNO</v>
      </c>
      <c r="G11" s="306"/>
      <c r="H11" s="306"/>
      <c r="I11" s="306"/>
      <c r="J11" s="306"/>
      <c r="K11" s="306"/>
      <c r="L11" s="306"/>
      <c r="M11" s="306"/>
      <c r="N11" s="306"/>
      <c r="O11" s="306"/>
      <c r="P11" s="269">
        <v>2026</v>
      </c>
      <c r="Q11" s="270"/>
      <c r="R11" s="294" t="str">
        <f>INDEX(AT15:AV15,$AJ$4)</f>
        <v>UCI-ID</v>
      </c>
      <c r="S11" s="308"/>
      <c r="T11" s="308"/>
      <c r="U11" s="308"/>
      <c r="V11" s="309"/>
      <c r="W11" s="294" t="str">
        <f>INDEX(AT14:AV14,$AJ$4)</f>
        <v>JMÉNO</v>
      </c>
      <c r="X11" s="306"/>
      <c r="Y11" s="306"/>
      <c r="Z11" s="306"/>
      <c r="AA11" s="306"/>
      <c r="AB11" s="306"/>
      <c r="AC11" s="306"/>
      <c r="AD11" s="306"/>
      <c r="AE11" s="269">
        <v>2026</v>
      </c>
      <c r="AF11" s="270"/>
      <c r="AG11" s="294" t="str">
        <f>INDEX(AT15:AV15,$AJ$4)</f>
        <v>UCI-ID</v>
      </c>
      <c r="AH11" s="295"/>
      <c r="AN11" s="204" t="s">
        <v>195</v>
      </c>
      <c r="AS11" s="49"/>
      <c r="AT11" s="57" t="s">
        <v>44</v>
      </c>
      <c r="AU11" s="57" t="s">
        <v>45</v>
      </c>
      <c r="AV11" s="57" t="s">
        <v>86</v>
      </c>
      <c r="AW11" s="57"/>
      <c r="AX11" s="56"/>
    </row>
    <row r="12" spans="1:52" ht="18" customHeight="1">
      <c r="A12" s="188">
        <v>1</v>
      </c>
      <c r="B12" s="189" t="str">
        <f>IF('Pořadí zápasů 8 Teams_Spielplan'!Q6=0,"",'Pořadí zápasů 8 Teams_Spielplan'!Q6)</f>
        <v>Sokol Šitbořice 1</v>
      </c>
      <c r="C12" s="190"/>
      <c r="D12" s="190"/>
      <c r="E12" s="191"/>
      <c r="F12" s="235" t="s">
        <v>256</v>
      </c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2">
        <v>11</v>
      </c>
      <c r="R12" s="291">
        <v>10157654383</v>
      </c>
      <c r="S12" s="292"/>
      <c r="T12" s="292"/>
      <c r="U12" s="292"/>
      <c r="V12" s="293"/>
      <c r="W12" s="233" t="s">
        <v>208</v>
      </c>
      <c r="X12" s="231"/>
      <c r="Y12" s="231"/>
      <c r="Z12" s="231"/>
      <c r="AA12" s="231"/>
      <c r="AB12" s="231"/>
      <c r="AC12" s="231"/>
      <c r="AD12" s="231"/>
      <c r="AE12" s="226">
        <v>14</v>
      </c>
      <c r="AF12" s="234"/>
      <c r="AG12" s="271">
        <v>10099764177</v>
      </c>
      <c r="AH12" s="272"/>
      <c r="AI12" s="15"/>
      <c r="AJ12" s="175" t="s">
        <v>169</v>
      </c>
      <c r="AK12" s="15"/>
      <c r="AN12" s="204" t="s">
        <v>236</v>
      </c>
      <c r="AS12" s="49"/>
      <c r="AT12" s="57" t="s">
        <v>1</v>
      </c>
      <c r="AU12" s="57" t="s">
        <v>46</v>
      </c>
      <c r="AV12" s="73" t="s">
        <v>88</v>
      </c>
      <c r="AW12" s="57"/>
      <c r="AX12" s="56"/>
    </row>
    <row r="13" spans="1:52" ht="18" customHeight="1">
      <c r="A13" s="192">
        <v>2</v>
      </c>
      <c r="B13" s="208" t="str">
        <f>IF('Pořadí zápasů 8 Teams_Spielplan'!Q7=0,"",'Pořadí zápasů 8 Teams_Spielplan'!Q7)</f>
        <v>Sokol Šitbořice 2</v>
      </c>
      <c r="C13" s="193"/>
      <c r="D13" s="193"/>
      <c r="E13" s="194"/>
      <c r="F13" s="235" t="s">
        <v>212</v>
      </c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2">
        <v>12</v>
      </c>
      <c r="R13" s="296">
        <v>10147164340</v>
      </c>
      <c r="S13" s="297"/>
      <c r="T13" s="297"/>
      <c r="U13" s="297"/>
      <c r="V13" s="298"/>
      <c r="W13" s="233" t="s">
        <v>211</v>
      </c>
      <c r="X13" s="231"/>
      <c r="Y13" s="231"/>
      <c r="Z13" s="231"/>
      <c r="AA13" s="231"/>
      <c r="AB13" s="231"/>
      <c r="AC13" s="231"/>
      <c r="AD13" s="231"/>
      <c r="AE13" s="226">
        <v>14</v>
      </c>
      <c r="AF13" s="234"/>
      <c r="AG13" s="273">
        <v>10134812200</v>
      </c>
      <c r="AH13" s="274"/>
      <c r="AI13" s="15"/>
      <c r="AJ13" s="79" t="s">
        <v>182</v>
      </c>
      <c r="AK13" s="15"/>
      <c r="AN13" s="204" t="s">
        <v>193</v>
      </c>
      <c r="AS13" s="49"/>
      <c r="AT13" s="159" t="s">
        <v>157</v>
      </c>
      <c r="AU13" s="57" t="s">
        <v>48</v>
      </c>
      <c r="AV13" s="57" t="s">
        <v>87</v>
      </c>
      <c r="AW13" s="57"/>
      <c r="AX13" s="56"/>
    </row>
    <row r="14" spans="1:52" ht="18" customHeight="1">
      <c r="A14" s="192">
        <v>3</v>
      </c>
      <c r="B14" s="208" t="str">
        <f>IF('Pořadí zápasů 8 Teams_Spielplan'!Q8=0,"",'Pořadí zápasů 8 Teams_Spielplan'!Q8)</f>
        <v>Sokol Šitbořice 3</v>
      </c>
      <c r="C14" s="193"/>
      <c r="D14" s="193"/>
      <c r="E14" s="194"/>
      <c r="F14" s="235" t="s">
        <v>243</v>
      </c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2">
        <v>12</v>
      </c>
      <c r="R14" s="296">
        <v>10168434521</v>
      </c>
      <c r="S14" s="297"/>
      <c r="T14" s="297"/>
      <c r="U14" s="297"/>
      <c r="V14" s="298"/>
      <c r="W14" s="233" t="s">
        <v>244</v>
      </c>
      <c r="X14" s="231"/>
      <c r="Y14" s="231"/>
      <c r="Z14" s="231"/>
      <c r="AA14" s="231"/>
      <c r="AB14" s="231"/>
      <c r="AC14" s="231"/>
      <c r="AD14" s="231"/>
      <c r="AE14" s="226">
        <v>10</v>
      </c>
      <c r="AF14" s="234"/>
      <c r="AG14" s="299">
        <v>10137204359</v>
      </c>
      <c r="AH14" s="300"/>
      <c r="AI14" s="16"/>
      <c r="AJ14" s="79" t="s">
        <v>183</v>
      </c>
      <c r="AK14" s="16"/>
      <c r="AN14" s="204" t="s">
        <v>196</v>
      </c>
      <c r="AR14" s="16"/>
      <c r="AS14" s="49"/>
      <c r="AT14" s="57" t="s">
        <v>2</v>
      </c>
      <c r="AU14" s="57" t="s">
        <v>47</v>
      </c>
      <c r="AV14" s="57" t="s">
        <v>89</v>
      </c>
      <c r="AW14" s="57"/>
      <c r="AX14" s="56"/>
    </row>
    <row r="15" spans="1:52" ht="18" customHeight="1">
      <c r="A15" s="192">
        <v>4</v>
      </c>
      <c r="B15" s="208" t="str">
        <f>IF('Pořadí zápasů 8 Teams_Spielplan'!Q9=0,"",'Pořadí zápasů 8 Teams_Spielplan'!Q9)</f>
        <v>SC Svitávka</v>
      </c>
      <c r="C15" s="193"/>
      <c r="D15" s="193"/>
      <c r="E15" s="194"/>
      <c r="F15" s="230" t="s">
        <v>234</v>
      </c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2">
        <v>13</v>
      </c>
      <c r="R15" s="285">
        <v>10133292128</v>
      </c>
      <c r="S15" s="286"/>
      <c r="T15" s="286"/>
      <c r="U15" s="286"/>
      <c r="V15" s="287"/>
      <c r="W15" s="233" t="s">
        <v>241</v>
      </c>
      <c r="X15" s="231"/>
      <c r="Y15" s="231"/>
      <c r="Z15" s="231"/>
      <c r="AA15" s="231"/>
      <c r="AB15" s="231"/>
      <c r="AC15" s="231"/>
      <c r="AD15" s="231"/>
      <c r="AE15" s="226"/>
      <c r="AF15" s="234"/>
      <c r="AG15" s="271" t="s">
        <v>242</v>
      </c>
      <c r="AH15" s="272"/>
      <c r="AI15" s="16"/>
      <c r="AJ15" s="16"/>
      <c r="AK15" s="16"/>
      <c r="AN15" s="205" t="s">
        <v>197</v>
      </c>
      <c r="AR15" s="16"/>
      <c r="AS15" s="49"/>
      <c r="AT15" s="159" t="s">
        <v>204</v>
      </c>
      <c r="AU15" s="159" t="s">
        <v>204</v>
      </c>
      <c r="AV15" s="159" t="s">
        <v>204</v>
      </c>
      <c r="AW15" s="57"/>
      <c r="AX15" s="56"/>
    </row>
    <row r="16" spans="1:52" ht="18" customHeight="1">
      <c r="A16" s="192">
        <v>5</v>
      </c>
      <c r="B16" s="208" t="str">
        <f>IF('Pořadí zápasů 8 Teams_Spielplan'!Q10=0,"",'Pořadí zápasů 8 Teams_Spielplan'!Q10)</f>
        <v>Sokol Zlín Prštné 1</v>
      </c>
      <c r="C16" s="193"/>
      <c r="D16" s="193"/>
      <c r="E16" s="194"/>
      <c r="F16" s="243" t="s">
        <v>240</v>
      </c>
      <c r="G16" s="237"/>
      <c r="H16" s="238"/>
      <c r="I16" s="238"/>
      <c r="J16" s="238"/>
      <c r="K16" s="238"/>
      <c r="L16" s="238"/>
      <c r="M16" s="238"/>
      <c r="N16" s="238"/>
      <c r="O16" s="238"/>
      <c r="P16" s="238"/>
      <c r="Q16" s="239">
        <v>14</v>
      </c>
      <c r="R16" s="288">
        <v>10091960428</v>
      </c>
      <c r="S16" s="289"/>
      <c r="T16" s="289"/>
      <c r="U16" s="289"/>
      <c r="V16" s="290"/>
      <c r="W16" s="260" t="s">
        <v>247</v>
      </c>
      <c r="X16" s="261"/>
      <c r="Y16" s="261"/>
      <c r="Z16" s="261"/>
      <c r="AA16" s="261"/>
      <c r="AB16" s="261"/>
      <c r="AC16" s="261"/>
      <c r="AD16" s="261"/>
      <c r="AE16" s="262">
        <v>14</v>
      </c>
      <c r="AF16" s="263"/>
      <c r="AG16" s="281">
        <v>10124334782</v>
      </c>
      <c r="AH16" s="282"/>
      <c r="AI16" s="15"/>
      <c r="AJ16" s="15"/>
      <c r="AK16" s="15"/>
      <c r="AN16" s="204" t="s">
        <v>198</v>
      </c>
      <c r="AR16" s="15"/>
      <c r="AS16" s="49"/>
      <c r="AT16" s="57" t="s">
        <v>3</v>
      </c>
      <c r="AU16" s="57" t="s">
        <v>52</v>
      </c>
      <c r="AV16" s="57" t="s">
        <v>79</v>
      </c>
      <c r="AW16" s="57"/>
      <c r="AX16" s="56"/>
    </row>
    <row r="17" spans="1:50" ht="18" customHeight="1">
      <c r="A17" s="192">
        <v>6</v>
      </c>
      <c r="B17" s="208" t="str">
        <f>IF('Pořadí zápasů 8 Teams_Spielplan'!Q11=0,"",'Pořadí zápasů 8 Teams_Spielplan'!Q11)</f>
        <v>Sokol Zlín Prštné 2</v>
      </c>
      <c r="C17" s="193"/>
      <c r="D17" s="193"/>
      <c r="E17" s="194"/>
      <c r="F17" s="235" t="s">
        <v>233</v>
      </c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2">
        <v>9</v>
      </c>
      <c r="R17" s="296">
        <v>10148441609</v>
      </c>
      <c r="S17" s="297"/>
      <c r="T17" s="297"/>
      <c r="U17" s="297"/>
      <c r="V17" s="298"/>
      <c r="W17" s="233" t="s">
        <v>232</v>
      </c>
      <c r="X17" s="240"/>
      <c r="Y17" s="240"/>
      <c r="Z17" s="240"/>
      <c r="AA17" s="240"/>
      <c r="AB17" s="240"/>
      <c r="AC17" s="240"/>
      <c r="AD17" s="240"/>
      <c r="AE17" s="241">
        <v>15</v>
      </c>
      <c r="AF17" s="242"/>
      <c r="AG17" s="281">
        <v>10091960529</v>
      </c>
      <c r="AH17" s="282"/>
      <c r="AI17" s="15"/>
      <c r="AJ17" s="15"/>
      <c r="AK17" s="15"/>
      <c r="AN17" s="205" t="s">
        <v>199</v>
      </c>
      <c r="AR17" s="15"/>
      <c r="AS17" s="49"/>
      <c r="AT17" s="57" t="s">
        <v>33</v>
      </c>
      <c r="AU17" s="57" t="s">
        <v>103</v>
      </c>
      <c r="AV17" s="57" t="s">
        <v>80</v>
      </c>
      <c r="AW17" s="57"/>
      <c r="AX17" s="56"/>
    </row>
    <row r="18" spans="1:50" ht="18" customHeight="1">
      <c r="A18" s="192">
        <v>7</v>
      </c>
      <c r="B18" s="208" t="str">
        <f>IF('Pořadí zápasů 8 Teams_Spielplan'!Q12=0,"",'Pořadí zápasů 8 Teams_Spielplan'!Q12)</f>
        <v>MILO Olomouc 1</v>
      </c>
      <c r="C18" s="193"/>
      <c r="D18" s="193"/>
      <c r="E18" s="194"/>
      <c r="F18" s="235" t="s">
        <v>230</v>
      </c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2">
        <v>14</v>
      </c>
      <c r="R18" s="291">
        <v>10148286712</v>
      </c>
      <c r="S18" s="292"/>
      <c r="T18" s="292"/>
      <c r="U18" s="292"/>
      <c r="V18" s="293"/>
      <c r="W18" s="233" t="s">
        <v>229</v>
      </c>
      <c r="X18" s="231"/>
      <c r="Y18" s="231"/>
      <c r="Z18" s="231"/>
      <c r="AA18" s="231"/>
      <c r="AB18" s="231"/>
      <c r="AC18" s="231"/>
      <c r="AD18" s="231"/>
      <c r="AE18" s="226">
        <v>11</v>
      </c>
      <c r="AF18" s="234"/>
      <c r="AG18" s="271">
        <v>10158891640</v>
      </c>
      <c r="AH18" s="272"/>
      <c r="AI18" s="15"/>
      <c r="AJ18" s="15"/>
      <c r="AK18" s="15"/>
      <c r="AN18" s="204" t="s">
        <v>200</v>
      </c>
      <c r="AR18" s="15"/>
      <c r="AS18" s="49"/>
      <c r="AT18" s="57" t="s">
        <v>34</v>
      </c>
      <c r="AU18" s="57" t="s">
        <v>49</v>
      </c>
      <c r="AV18" s="57" t="s">
        <v>81</v>
      </c>
      <c r="AW18" s="57"/>
      <c r="AX18" s="56"/>
    </row>
    <row r="19" spans="1:50" ht="18" customHeight="1">
      <c r="A19" s="192">
        <v>8</v>
      </c>
      <c r="B19" s="208" t="str">
        <f>IF('Pořadí zápasů 8 Teams_Spielplan'!Q13=0,"",'Pořadí zápasů 8 Teams_Spielplan'!Q13)</f>
        <v>MILO Olomouc 2</v>
      </c>
      <c r="C19" s="193"/>
      <c r="D19" s="193"/>
      <c r="E19" s="194"/>
      <c r="F19" s="235" t="s">
        <v>228</v>
      </c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2">
        <v>11</v>
      </c>
      <c r="R19" s="291">
        <v>10148287621</v>
      </c>
      <c r="S19" s="292"/>
      <c r="T19" s="292"/>
      <c r="U19" s="292"/>
      <c r="V19" s="293"/>
      <c r="W19" s="233" t="s">
        <v>231</v>
      </c>
      <c r="X19" s="240"/>
      <c r="Y19" s="240"/>
      <c r="Z19" s="240"/>
      <c r="AA19" s="240"/>
      <c r="AB19" s="240"/>
      <c r="AC19" s="240"/>
      <c r="AD19" s="240"/>
      <c r="AE19" s="241">
        <v>12</v>
      </c>
      <c r="AF19" s="242"/>
      <c r="AG19" s="273">
        <v>10135701162</v>
      </c>
      <c r="AH19" s="274"/>
      <c r="AI19" s="15"/>
      <c r="AJ19" s="15"/>
      <c r="AK19" s="15"/>
      <c r="AN19" s="205" t="s">
        <v>201</v>
      </c>
      <c r="AR19" s="15"/>
      <c r="AS19" s="49"/>
      <c r="AT19" s="57" t="s">
        <v>34</v>
      </c>
      <c r="AU19" s="57" t="s">
        <v>49</v>
      </c>
      <c r="AV19" s="57" t="s">
        <v>81</v>
      </c>
      <c r="AW19" s="57"/>
      <c r="AX19" s="56"/>
    </row>
    <row r="20" spans="1:50" ht="9.75" customHeight="1" thickBot="1">
      <c r="AE20"/>
      <c r="AG20"/>
      <c r="AN20" s="205" t="s">
        <v>202</v>
      </c>
      <c r="AS20" s="49"/>
      <c r="AT20" s="70"/>
      <c r="AU20" s="70"/>
      <c r="AV20" s="70"/>
      <c r="AW20" s="57"/>
      <c r="AX20" s="56"/>
    </row>
    <row r="21" spans="1:50" ht="24" customHeight="1" thickBot="1">
      <c r="A21" s="275" t="str">
        <f>INDEX(AT16:AV16,$AJ$4)</f>
        <v>Rozhodčí</v>
      </c>
      <c r="B21" s="278"/>
      <c r="C21" s="278"/>
      <c r="D21" s="278"/>
      <c r="E21" s="278"/>
      <c r="F21" s="278"/>
      <c r="G21" s="278"/>
      <c r="H21" s="279"/>
      <c r="AE21"/>
      <c r="AG21"/>
      <c r="AN21" s="204" t="s">
        <v>203</v>
      </c>
      <c r="AS21" s="49"/>
      <c r="AT21" s="57" t="s">
        <v>35</v>
      </c>
      <c r="AU21" s="57" t="s">
        <v>50</v>
      </c>
      <c r="AV21" s="57" t="s">
        <v>82</v>
      </c>
      <c r="AW21" s="56"/>
      <c r="AX21" s="56"/>
    </row>
    <row r="22" spans="1:50" ht="6.75" customHeight="1">
      <c r="AE22"/>
      <c r="AG22"/>
      <c r="AS22" s="49"/>
      <c r="AT22" s="57" t="s">
        <v>4</v>
      </c>
      <c r="AU22" s="57" t="s">
        <v>51</v>
      </c>
      <c r="AV22" s="57" t="s">
        <v>79</v>
      </c>
      <c r="AW22" s="56"/>
      <c r="AX22" s="56"/>
    </row>
    <row r="23" spans="1:50" ht="20.100000000000001" customHeight="1">
      <c r="A23" s="9"/>
      <c r="B23" s="17" t="str">
        <f>INDEX(AT17:AV17,$AJ$4)</f>
        <v>Hlavní rozhodčí:</v>
      </c>
      <c r="C23" s="61" t="s">
        <v>237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58"/>
      <c r="Q23" s="15"/>
      <c r="R23" s="17"/>
      <c r="S23" s="15"/>
      <c r="T23" s="15"/>
      <c r="U23" s="51" t="str">
        <f>INDEX(AT22:AV22,$AJ$4)</f>
        <v>Rozhodčí:</v>
      </c>
      <c r="V23" s="15"/>
      <c r="W23" s="253" t="s">
        <v>249</v>
      </c>
      <c r="X23" s="172"/>
      <c r="Y23" s="62"/>
      <c r="Z23" s="62"/>
      <c r="AA23" s="62"/>
      <c r="AB23" s="62"/>
      <c r="AC23" s="62"/>
      <c r="AD23" s="62"/>
      <c r="AE23" s="62"/>
      <c r="AF23" s="62"/>
      <c r="AG23" s="62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49"/>
      <c r="AT23" s="57" t="s">
        <v>5</v>
      </c>
      <c r="AU23" s="57" t="s">
        <v>37</v>
      </c>
      <c r="AV23" s="57" t="s">
        <v>90</v>
      </c>
      <c r="AW23" s="56"/>
      <c r="AX23" s="56"/>
    </row>
    <row r="24" spans="1:50" ht="20.100000000000001" customHeight="1">
      <c r="A24" s="9"/>
      <c r="B24" s="17" t="str">
        <f>INDEX(AT18:AV18,$AJ$4)</f>
        <v>Časoměřič:</v>
      </c>
      <c r="C24" s="252" t="s">
        <v>248</v>
      </c>
      <c r="D24" s="27"/>
      <c r="E24" s="27"/>
      <c r="F24" s="27"/>
      <c r="G24" s="27"/>
      <c r="H24" s="27"/>
      <c r="I24" s="27"/>
      <c r="J24" s="27"/>
      <c r="K24" s="26"/>
      <c r="L24" s="27"/>
      <c r="M24" s="27"/>
      <c r="N24" s="27"/>
      <c r="O24" s="27"/>
      <c r="P24" s="15"/>
      <c r="Q24" s="15"/>
      <c r="R24" s="15"/>
      <c r="S24" s="15"/>
      <c r="T24" s="15"/>
      <c r="U24" s="15"/>
      <c r="V24" s="15"/>
      <c r="W24" s="253" t="s">
        <v>251</v>
      </c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49"/>
      <c r="AT24" s="57" t="s">
        <v>6</v>
      </c>
      <c r="AU24" s="57" t="s">
        <v>68</v>
      </c>
      <c r="AV24" s="57" t="s">
        <v>91</v>
      </c>
      <c r="AW24" s="56"/>
      <c r="AX24" s="56"/>
    </row>
    <row r="25" spans="1:50" ht="20.100000000000001" customHeight="1">
      <c r="A25" s="9"/>
      <c r="B25" s="17" t="str">
        <f>INDEX(AT21:AV21,$AJ$4)</f>
        <v>Zapisovatel:</v>
      </c>
      <c r="C25" s="252" t="s">
        <v>237</v>
      </c>
      <c r="D25" s="27"/>
      <c r="E25" s="27"/>
      <c r="F25" s="27"/>
      <c r="G25" s="27"/>
      <c r="H25" s="27"/>
      <c r="I25" s="27"/>
      <c r="J25" s="27"/>
      <c r="K25" s="26"/>
      <c r="L25" s="27"/>
      <c r="M25" s="27"/>
      <c r="N25" s="27"/>
      <c r="O25" s="27"/>
      <c r="P25" s="15"/>
      <c r="Q25" s="15"/>
      <c r="R25" s="15"/>
      <c r="S25" s="15"/>
      <c r="T25" s="15"/>
      <c r="U25" s="15"/>
      <c r="V25" s="15"/>
      <c r="W25" s="251" t="s">
        <v>250</v>
      </c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49"/>
      <c r="AT25" s="57" t="s">
        <v>27</v>
      </c>
      <c r="AU25" s="57" t="s">
        <v>38</v>
      </c>
      <c r="AV25" s="57" t="s">
        <v>92</v>
      </c>
      <c r="AW25" s="56"/>
      <c r="AX25" s="56"/>
    </row>
    <row r="26" spans="1:50" ht="20.100000000000001" customHeight="1">
      <c r="B26" s="15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15"/>
      <c r="Q26" s="15"/>
      <c r="R26" s="15"/>
      <c r="S26" s="15"/>
      <c r="T26" s="212"/>
      <c r="U26" s="213"/>
      <c r="V26" s="212"/>
      <c r="W26" s="251"/>
      <c r="X26" s="65"/>
      <c r="Y26" s="65"/>
      <c r="Z26" s="62"/>
      <c r="AA26" s="62"/>
      <c r="AB26" s="62"/>
      <c r="AC26" s="62"/>
      <c r="AD26" s="62"/>
      <c r="AE26" s="62"/>
      <c r="AF26" s="62"/>
      <c r="AG26" s="62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49"/>
      <c r="AT26" s="57" t="s">
        <v>7</v>
      </c>
      <c r="AU26" s="57" t="s">
        <v>64</v>
      </c>
      <c r="AV26" s="57" t="s">
        <v>94</v>
      </c>
      <c r="AW26" s="56"/>
      <c r="AX26" s="56"/>
    </row>
    <row r="27" spans="1:50" ht="15" customHeight="1" thickBot="1">
      <c r="T27" s="212"/>
      <c r="U27" s="213"/>
      <c r="V27" s="212"/>
      <c r="AE27"/>
      <c r="AG27"/>
      <c r="AH27" s="15"/>
      <c r="AS27" s="49"/>
      <c r="AT27" s="57" t="s">
        <v>9</v>
      </c>
      <c r="AU27" s="57" t="s">
        <v>53</v>
      </c>
      <c r="AV27" s="57" t="s">
        <v>93</v>
      </c>
      <c r="AW27" s="56"/>
      <c r="AX27" s="56"/>
    </row>
    <row r="28" spans="1:50" ht="24" customHeight="1" thickBot="1">
      <c r="A28" s="275" t="str">
        <f>INDEX(AT23:AV23,$AJ$4)</f>
        <v>Výsledky</v>
      </c>
      <c r="B28" s="278"/>
      <c r="C28" s="278"/>
      <c r="D28" s="278"/>
      <c r="E28" s="278"/>
      <c r="F28" s="278"/>
      <c r="G28" s="278"/>
      <c r="H28" s="279"/>
      <c r="I28" s="5"/>
      <c r="J28" s="5"/>
      <c r="K28" s="5"/>
      <c r="L28" s="5"/>
      <c r="M28" s="5"/>
      <c r="N28" s="5"/>
      <c r="P28" s="5"/>
      <c r="S28" s="5"/>
      <c r="V28" s="5"/>
      <c r="Y28" s="5"/>
      <c r="AB28" s="5"/>
      <c r="AF28" s="5"/>
      <c r="AS28" s="49"/>
      <c r="AT28" s="57" t="s">
        <v>161</v>
      </c>
      <c r="AU28" s="57" t="s">
        <v>162</v>
      </c>
      <c r="AV28" s="57" t="s">
        <v>163</v>
      </c>
      <c r="AW28" s="56"/>
      <c r="AX28" s="56"/>
    </row>
    <row r="29" spans="1:50" ht="12" customHeight="1" thickBot="1"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68"/>
      <c r="AB29" s="68"/>
      <c r="AC29" s="68"/>
      <c r="AS29" s="49"/>
      <c r="AT29" s="57" t="s">
        <v>36</v>
      </c>
      <c r="AU29" s="57" t="s">
        <v>54</v>
      </c>
      <c r="AV29" s="57" t="s">
        <v>104</v>
      </c>
      <c r="AW29" s="56"/>
      <c r="AX29" s="56"/>
    </row>
    <row r="30" spans="1:50" ht="15" customHeight="1" thickBot="1">
      <c r="A30" s="1"/>
      <c r="B30" s="2" t="str">
        <f>INDEX(AT13:AV13,$AJ$4)</f>
        <v>Těl. spolek - klub</v>
      </c>
      <c r="C30" s="6">
        <v>1</v>
      </c>
      <c r="D30" s="7"/>
      <c r="E30" s="7"/>
      <c r="F30" s="6">
        <v>2</v>
      </c>
      <c r="G30" s="7"/>
      <c r="H30" s="7"/>
      <c r="I30" s="6">
        <v>3</v>
      </c>
      <c r="J30" s="7"/>
      <c r="K30" s="7"/>
      <c r="L30" s="6">
        <v>4</v>
      </c>
      <c r="M30" s="7"/>
      <c r="N30" s="7"/>
      <c r="O30" s="6">
        <v>5</v>
      </c>
      <c r="P30" s="7"/>
      <c r="Q30" s="7"/>
      <c r="R30" s="22">
        <v>6</v>
      </c>
      <c r="S30" s="20"/>
      <c r="T30" s="20"/>
      <c r="U30" s="22">
        <v>7</v>
      </c>
      <c r="V30" s="20"/>
      <c r="W30" s="20"/>
      <c r="X30" s="22">
        <v>8</v>
      </c>
      <c r="Y30" s="20"/>
      <c r="Z30" s="20"/>
      <c r="AA30" s="77">
        <v>9</v>
      </c>
      <c r="AB30" s="78"/>
      <c r="AC30" s="78"/>
      <c r="AD30" s="195" t="str">
        <f>INDEX(AT24:AV24,$AJ$4)</f>
        <v>Body</v>
      </c>
      <c r="AE30" s="166" t="str">
        <f>INDEX(AT25:AV25,$AJ$4)</f>
        <v>Branky</v>
      </c>
      <c r="AF30" s="167"/>
      <c r="AG30" s="167"/>
      <c r="AH30" s="168" t="str">
        <f>INDEX(AT26:AV26,$AJ$4)</f>
        <v>Místo</v>
      </c>
      <c r="AJ30" s="79" t="s">
        <v>105</v>
      </c>
      <c r="AM30" s="79"/>
      <c r="AN30" s="79"/>
      <c r="AO30" s="79"/>
      <c r="AP30" s="79"/>
      <c r="AQ30" s="79"/>
      <c r="AS30" s="49"/>
      <c r="AT30" s="57" t="s">
        <v>21</v>
      </c>
      <c r="AU30" s="57" t="s">
        <v>55</v>
      </c>
      <c r="AV30" s="57" t="s">
        <v>95</v>
      </c>
      <c r="AW30" s="56"/>
      <c r="AX30" s="56"/>
    </row>
    <row r="31" spans="1:50" ht="22.05" customHeight="1">
      <c r="A31" s="146">
        <v>1</v>
      </c>
      <c r="B31" s="186" t="str">
        <f>IF(B12=0,"",B12)</f>
        <v>Sokol Šitbořice 1</v>
      </c>
      <c r="C31" s="85"/>
      <c r="D31" s="86"/>
      <c r="E31" s="86"/>
      <c r="F31" s="87">
        <f>IF('Pořadí zápasů 8 Teams_Spielplan'!$L6="","",'Pořadí zápasů 8 Teams_Spielplan'!$L6)</f>
        <v>3</v>
      </c>
      <c r="G31" s="88" t="s">
        <v>8</v>
      </c>
      <c r="H31" s="89">
        <f>IF('Pořadí zápasů 8 Teams_Spielplan'!$N6="","",'Pořadí zápasů 8 Teams_Spielplan'!$N6)</f>
        <v>2</v>
      </c>
      <c r="I31" s="87">
        <f>IF('Pořadí zápasů 8 Teams_Spielplan'!$L27="","",'Pořadí zápasů 8 Teams_Spielplan'!$L27)</f>
        <v>6</v>
      </c>
      <c r="J31" s="88" t="s">
        <v>8</v>
      </c>
      <c r="K31" s="89">
        <f>IF('Pořadí zápasů 8 Teams_Spielplan'!$N27="","",'Pořadí zápasů 8 Teams_Spielplan'!$N27)</f>
        <v>0</v>
      </c>
      <c r="L31" s="87">
        <f>IF('Pořadí zápasů 8 Teams_Spielplan'!$L10="","",'Pořadí zápasů 8 Teams_Spielplan'!$L10)</f>
        <v>7</v>
      </c>
      <c r="M31" s="88" t="s">
        <v>8</v>
      </c>
      <c r="N31" s="89">
        <f>IF('Pořadí zápasů 8 Teams_Spielplan'!$N10="","",'Pořadí zápasů 8 Teams_Spielplan'!$N10)</f>
        <v>0</v>
      </c>
      <c r="O31" s="87">
        <f>IF('Pořadí zápasů 8 Teams_Spielplan'!$L30="","",'Pořadí zápasů 8 Teams_Spielplan'!$L30)</f>
        <v>2</v>
      </c>
      <c r="P31" s="88" t="s">
        <v>8</v>
      </c>
      <c r="Q31" s="89">
        <f>IF('Pořadí zápasů 8 Teams_Spielplan'!$N30="","",'Pořadí zápasů 8 Teams_Spielplan'!$N30)</f>
        <v>2</v>
      </c>
      <c r="R31" s="87">
        <f>IF('Pořadí zápasů 8 Teams_Spielplan'!$L22="","",'Pořadí zápasů 8 Teams_Spielplan'!$L22)</f>
        <v>5</v>
      </c>
      <c r="S31" s="88" t="s">
        <v>8</v>
      </c>
      <c r="T31" s="89">
        <f>IF('Pořadí zápasů 8 Teams_Spielplan'!$N22="","",'Pořadí zápasů 8 Teams_Spielplan'!$N22)</f>
        <v>0</v>
      </c>
      <c r="U31" s="87">
        <f>IF('Pořadí zápasů 8 Teams_Spielplan'!$L13="","",'Pořadí zápasů 8 Teams_Spielplan'!$L13)</f>
        <v>9</v>
      </c>
      <c r="V31" s="88" t="s">
        <v>8</v>
      </c>
      <c r="W31" s="89">
        <f>IF('Pořadí zápasů 8 Teams_Spielplan'!$N13="","",'Pořadí zápasů 8 Teams_Spielplan'!$N13)</f>
        <v>2</v>
      </c>
      <c r="X31" s="87">
        <f>IF('Pořadí zápasů 8 Teams_Spielplan'!$L18="","",'Pořadí zápasů 8 Teams_Spielplan'!$L18)</f>
        <v>5</v>
      </c>
      <c r="Y31" s="88" t="s">
        <v>8</v>
      </c>
      <c r="Z31" s="89">
        <f>IF('Pořadí zápasů 8 Teams_Spielplan'!$N18="","",'Pořadí zápasů 8 Teams_Spielplan'!$N18)</f>
        <v>1</v>
      </c>
      <c r="AA31" s="90"/>
      <c r="AB31" s="91" t="s">
        <v>8</v>
      </c>
      <c r="AC31" s="92"/>
      <c r="AD31" s="93">
        <f>IF(F31="","",IF(AND(C31="",E31=""),0,IF(C31&gt;E31,3,IF(C31=E31,1,0)))+IF(AND(F31="",H31=""),0,IF(F31&gt;H31,3,IF(F31=H31,1,0)))+IF(AND(I31="",K31=""),0,IF(I31&gt;K31,3,IF(I31=K31,1,0)))+IF(AND(L31="",N31=""),0,IF(L31&gt;N31,3,IF(L31=N31,1,0)))+IF(AND(O31="",Q31=""),0,IF(O31&gt;Q31,3,IF(O31=Q31,1,0)))+IF(AND(R31="",T31=""),0,IF(R31&gt;T31,3,IF(R31=T31,1,0)))+IF(AND(U31="",W31=""),0,IF(U31&gt;W31,3,IF(U31=W31,1,0)))+IF(AND(X31="",Z31=""),0,IF(X31&gt;Z31,3,IF(X31=Z31,1,0)))+IF(AND(AA31="",AC31=""),0,IF(AA31&gt;AC31,3,IF(AA31=AC31,1,0))))</f>
        <v>19</v>
      </c>
      <c r="AE31" s="149">
        <f>IF(F31="","",F31+I31+L31+O31+R31+U31+X31+AA31)</f>
        <v>37</v>
      </c>
      <c r="AF31" s="94" t="s">
        <v>8</v>
      </c>
      <c r="AG31" s="149">
        <f>IF(H31="","",H31+K31+N31+Q31+T31+W31+Z31+AC31)</f>
        <v>7</v>
      </c>
      <c r="AH31" s="148">
        <f>IF(F31="","",RANK(AD31,$AD$31:$AD$38))</f>
        <v>1</v>
      </c>
      <c r="AI31" s="151">
        <f>IF(F31="","",AE31-AG31)</f>
        <v>30</v>
      </c>
      <c r="AJ31" s="80" t="s">
        <v>181</v>
      </c>
      <c r="AM31" s="80"/>
      <c r="AN31" s="80"/>
      <c r="AS31" s="49"/>
      <c r="AT31" s="57" t="s">
        <v>63</v>
      </c>
      <c r="AU31" s="57" t="s">
        <v>64</v>
      </c>
      <c r="AV31" s="57" t="s">
        <v>96</v>
      </c>
      <c r="AW31" s="56"/>
      <c r="AX31" s="56"/>
    </row>
    <row r="32" spans="1:50" ht="22.05" customHeight="1">
      <c r="A32" s="147">
        <v>2</v>
      </c>
      <c r="B32" s="187" t="str">
        <f t="shared" ref="B32:B38" si="0">IF(B13=0,"",B13)</f>
        <v>Sokol Šitbořice 2</v>
      </c>
      <c r="C32" s="95">
        <f>IF(H31="","",H31)</f>
        <v>2</v>
      </c>
      <c r="D32" s="96" t="s">
        <v>8</v>
      </c>
      <c r="E32" s="96">
        <f>IF(F31="","",F31)</f>
        <v>3</v>
      </c>
      <c r="F32" s="97"/>
      <c r="G32" s="98" t="s">
        <v>8</v>
      </c>
      <c r="H32" s="98"/>
      <c r="I32" s="99">
        <f>IF('Pořadí zápasů 8 Teams_Spielplan'!$L16="","",'Pořadí zápasů 8 Teams_Spielplan'!$L16)</f>
        <v>2</v>
      </c>
      <c r="J32" s="100" t="s">
        <v>8</v>
      </c>
      <c r="K32" s="101">
        <f>IF('Pořadí zápasů 8 Teams_Spielplan'!$N16="","",'Pořadí zápasů 8 Teams_Spielplan'!$N16)</f>
        <v>0</v>
      </c>
      <c r="L32" s="99">
        <f>IF('Pořadí zápasů 8 Teams_Spielplan'!$L33="","",'Pořadí zápasů 8 Teams_Spielplan'!$L33)</f>
        <v>8</v>
      </c>
      <c r="M32" s="100" t="s">
        <v>8</v>
      </c>
      <c r="N32" s="101">
        <f>IF('Pořadí zápasů 8 Teams_Spielplan'!$N33="","",'Pořadí zápasů 8 Teams_Spielplan'!$N33)</f>
        <v>0</v>
      </c>
      <c r="O32" s="99">
        <f>IF('Pořadí zápasů 8 Teams_Spielplan'!$L11="","",'Pořadí zápasů 8 Teams_Spielplan'!$L11)</f>
        <v>1</v>
      </c>
      <c r="P32" s="100" t="s">
        <v>8</v>
      </c>
      <c r="Q32" s="101">
        <f>IF('Pořadí zápasů 8 Teams_Spielplan'!$N11="","",'Pořadí zápasů 8 Teams_Spielplan'!$N11)</f>
        <v>2</v>
      </c>
      <c r="R32" s="99">
        <f>IF('Pořadí zápasů 8 Teams_Spielplan'!$L19="","",'Pořadí zápasů 8 Teams_Spielplan'!$L19)</f>
        <v>5</v>
      </c>
      <c r="S32" s="100" t="s">
        <v>8</v>
      </c>
      <c r="T32" s="101">
        <f>IF('Pořadí zápasů 8 Teams_Spielplan'!$N19="","",'Pořadí zápasů 8 Teams_Spielplan'!$N19)</f>
        <v>0</v>
      </c>
      <c r="U32" s="99">
        <f>IF('Pořadí zápasů 8 Teams_Spielplan'!$L28="","",'Pořadí zápasů 8 Teams_Spielplan'!$L28)</f>
        <v>4</v>
      </c>
      <c r="V32" s="100" t="s">
        <v>8</v>
      </c>
      <c r="W32" s="101">
        <f>IF('Pořadí zápasů 8 Teams_Spielplan'!$N28="","",'Pořadí zápasů 8 Teams_Spielplan'!$N28)</f>
        <v>1</v>
      </c>
      <c r="X32" s="99">
        <f>IF('Pořadí zápasů 8 Teams_Spielplan'!$L23="","",'Pořadí zápasů 8 Teams_Spielplan'!$L23)</f>
        <v>8</v>
      </c>
      <c r="Y32" s="100" t="s">
        <v>8</v>
      </c>
      <c r="Z32" s="101">
        <f>IF('Pořadí zápasů 8 Teams_Spielplan'!$N23="","",'Pořadí zápasů 8 Teams_Spielplan'!$N23)</f>
        <v>0</v>
      </c>
      <c r="AA32" s="103"/>
      <c r="AB32" s="104" t="s">
        <v>8</v>
      </c>
      <c r="AC32" s="105"/>
      <c r="AD32" s="106">
        <f t="shared" ref="AD32:AD38" si="1">IF(C32="","",IF(AND(C32="",E32=""),0,IF(C32&gt;E32,3,IF(C32=E32,1,0)))+IF(AND(F32="",H32=""),0,IF(F32&gt;H32,3,IF(F32=H32,1,0)))+IF(AND(I32="",K32=""),0,IF(I32&gt;K32,3,IF(I32=K32,1,0)))+IF(AND(L32="",N32=""),0,IF(L32&gt;N32,3,IF(L32=N32,1,0)))+IF(AND(O32="",Q32=""),0,IF(O32&gt;Q32,3,IF(O32=Q32,1,0)))+IF(AND(R32="",T32=""),0,IF(R32&gt;T32,3,IF(R32=T32,1,0)))+IF(AND(U32="",W32=""),0,IF(U32&gt;W32,3,IF(U32=W32,1,0)))+IF(AND(X32="",Z32=""),0,IF(X32&gt;Z32,3,IF(X32=Z32,1,0)))+IF(AND(AA32="",AC32=""),0,IF(AA32&gt;AC32,3,IF(AA32=AC32,1,0))))</f>
        <v>15</v>
      </c>
      <c r="AE32" s="150">
        <f>IF(C32="","",H31+I32+L32+O32+R32+U32+X32+AA32)</f>
        <v>30</v>
      </c>
      <c r="AF32" s="107" t="s">
        <v>8</v>
      </c>
      <c r="AG32" s="150">
        <f>IF(E32="","",F31+K32+N32+Q32+T32+W32+Z32+AC32)</f>
        <v>6</v>
      </c>
      <c r="AH32" s="148">
        <f t="shared" ref="AH32:AH33" si="2">IF(C32="","",RANK(AD32,$AD$31:$AD$38))</f>
        <v>3</v>
      </c>
      <c r="AI32" s="151">
        <f t="shared" ref="AI32:AI37" si="3">IF(C32="","",AE32-AG32)</f>
        <v>24</v>
      </c>
      <c r="AJ32" s="176" t="s">
        <v>185</v>
      </c>
      <c r="AM32" s="80"/>
      <c r="AN32" s="80"/>
      <c r="AS32" s="49"/>
      <c r="AT32" s="159" t="s">
        <v>157</v>
      </c>
      <c r="AU32" s="57" t="s">
        <v>48</v>
      </c>
      <c r="AV32" s="57" t="s">
        <v>87</v>
      </c>
      <c r="AW32" s="56"/>
      <c r="AX32" s="56"/>
    </row>
    <row r="33" spans="1:50" ht="22.05" customHeight="1">
      <c r="A33" s="147">
        <v>3</v>
      </c>
      <c r="B33" s="187" t="str">
        <f t="shared" si="0"/>
        <v>Sokol Šitbořice 3</v>
      </c>
      <c r="C33" s="95">
        <f>IF(K31="","",K31)</f>
        <v>0</v>
      </c>
      <c r="D33" s="96" t="s">
        <v>8</v>
      </c>
      <c r="E33" s="96">
        <f>IF(I31="","",I31)</f>
        <v>6</v>
      </c>
      <c r="F33" s="95">
        <f>IF(K32="","",K32)</f>
        <v>0</v>
      </c>
      <c r="G33" s="96" t="s">
        <v>8</v>
      </c>
      <c r="H33" s="96">
        <f>IF(I32="","",I32)</f>
        <v>2</v>
      </c>
      <c r="I33" s="108"/>
      <c r="J33" s="98" t="s">
        <v>8</v>
      </c>
      <c r="K33" s="98"/>
      <c r="L33" s="99">
        <f>IF('Pořadí zápasů 8 Teams_Spielplan'!$L7="","",'Pořadí zápasů 8 Teams_Spielplan'!$L7)</f>
        <v>0</v>
      </c>
      <c r="M33" s="100" t="s">
        <v>8</v>
      </c>
      <c r="N33" s="101">
        <f>IF('Pořadí zápasů 8 Teams_Spielplan'!$N7="","",'Pořadí zápasů 8 Teams_Spielplan'!$N7)</f>
        <v>2</v>
      </c>
      <c r="O33" s="99">
        <f>IF('Pořadí zápasů 8 Teams_Spielplan'!$L21="","",'Pořadí zápasů 8 Teams_Spielplan'!$L21)</f>
        <v>0</v>
      </c>
      <c r="P33" s="100" t="s">
        <v>8</v>
      </c>
      <c r="Q33" s="101">
        <f>IF('Pořadí zápasů 8 Teams_Spielplan'!$N21="","",'Pořadí zápasů 8 Teams_Spielplan'!$N21)</f>
        <v>9</v>
      </c>
      <c r="R33" s="99">
        <f>IF('Pořadí zápasů 8 Teams_Spielplan'!$L12="","",'Pořadí zápasů 8 Teams_Spielplan'!$L12)</f>
        <v>5</v>
      </c>
      <c r="S33" s="100" t="s">
        <v>8</v>
      </c>
      <c r="T33" s="101">
        <f>IF('Pořadí zápasů 8 Teams_Spielplan'!$N12="","",'Pořadí zápasů 8 Teams_Spielplan'!$N12)</f>
        <v>0</v>
      </c>
      <c r="U33" s="99">
        <f>IF('Pořadí zápasů 8 Teams_Spielplan'!$L24="","",'Pořadí zápasů 8 Teams_Spielplan'!$L24)</f>
        <v>1</v>
      </c>
      <c r="V33" s="100" t="s">
        <v>8</v>
      </c>
      <c r="W33" s="101">
        <f>IF('Pořadí zápasů 8 Teams_Spielplan'!$N24="","",'Pořadí zápasů 8 Teams_Spielplan'!$N24)</f>
        <v>7</v>
      </c>
      <c r="X33" s="99">
        <f>IF('Pořadí zápasů 8 Teams_Spielplan'!$L32="","",'Pořadí zápasů 8 Teams_Spielplan'!$L32)</f>
        <v>0</v>
      </c>
      <c r="Y33" s="100" t="s">
        <v>8</v>
      </c>
      <c r="Z33" s="101">
        <f>IF('Pořadí zápasů 8 Teams_Spielplan'!$N32="","",'Pořadí zápasů 8 Teams_Spielplan'!$N32)</f>
        <v>6</v>
      </c>
      <c r="AA33" s="103"/>
      <c r="AB33" s="104" t="s">
        <v>8</v>
      </c>
      <c r="AC33" s="105"/>
      <c r="AD33" s="106">
        <f t="shared" si="1"/>
        <v>3</v>
      </c>
      <c r="AE33" s="150">
        <f>IF(C33="","",K31+K32+L33+O33+R33+U33+X33+AA33)</f>
        <v>6</v>
      </c>
      <c r="AF33" s="107" t="s">
        <v>8</v>
      </c>
      <c r="AG33" s="150">
        <f>IF(E32="","",I31+I32+N33+Q33+T33+W33+Z33+AC33)</f>
        <v>32</v>
      </c>
      <c r="AH33" s="148">
        <f t="shared" si="2"/>
        <v>7</v>
      </c>
      <c r="AI33" s="151">
        <f t="shared" si="3"/>
        <v>-26</v>
      </c>
      <c r="AJ33" s="176" t="s">
        <v>186</v>
      </c>
      <c r="AM33" s="80"/>
      <c r="AN33" s="80"/>
      <c r="AO33" s="80"/>
      <c r="AP33" s="80"/>
      <c r="AQ33" s="80"/>
      <c r="AS33" s="49"/>
      <c r="AT33" s="57" t="s">
        <v>66</v>
      </c>
      <c r="AU33" s="57" t="s">
        <v>67</v>
      </c>
      <c r="AV33" s="57" t="s">
        <v>97</v>
      </c>
      <c r="AW33" s="56"/>
      <c r="AX33" s="56"/>
    </row>
    <row r="34" spans="1:50" ht="22.05" customHeight="1">
      <c r="A34" s="147">
        <v>4</v>
      </c>
      <c r="B34" s="187" t="str">
        <f t="shared" si="0"/>
        <v>SC Svitávka</v>
      </c>
      <c r="C34" s="95">
        <f>IF(N31="","",N31)</f>
        <v>0</v>
      </c>
      <c r="D34" s="96" t="s">
        <v>8</v>
      </c>
      <c r="E34" s="96">
        <f>IF(L31="","",L31)</f>
        <v>7</v>
      </c>
      <c r="F34" s="95">
        <f>IF(N32="","",N32)</f>
        <v>0</v>
      </c>
      <c r="G34" s="96" t="s">
        <v>8</v>
      </c>
      <c r="H34" s="96">
        <f>IF(L32="","",L32)</f>
        <v>8</v>
      </c>
      <c r="I34" s="95">
        <f>IF(N33="","",N33)</f>
        <v>2</v>
      </c>
      <c r="J34" s="96" t="s">
        <v>8</v>
      </c>
      <c r="K34" s="96">
        <f>IF(L33="","",L33)</f>
        <v>0</v>
      </c>
      <c r="L34" s="108"/>
      <c r="M34" s="98" t="s">
        <v>8</v>
      </c>
      <c r="N34" s="98"/>
      <c r="O34" s="102">
        <f>IF('Pořadí zápasů 8 Teams_Spielplan'!$L25="","",'Pořadí zápasů 8 Teams_Spielplan'!$L25)</f>
        <v>0</v>
      </c>
      <c r="P34" s="100" t="s">
        <v>8</v>
      </c>
      <c r="Q34" s="109">
        <f>IF('Pořadí zápasů 8 Teams_Spielplan'!$N25="","",'Pořadí zápasů 8 Teams_Spielplan'!$N25)</f>
        <v>7</v>
      </c>
      <c r="R34" s="102">
        <f>IF('Pořadí zápasů 8 Teams_Spielplan'!$L15="","",'Pořadí zápasů 8 Teams_Spielplan'!$L15)</f>
        <v>5</v>
      </c>
      <c r="S34" s="100" t="s">
        <v>8</v>
      </c>
      <c r="T34" s="109">
        <f>IF('Pořadí zápasů 8 Teams_Spielplan'!$N15="","",'Pořadí zápasů 8 Teams_Spielplan'!$N15)</f>
        <v>0</v>
      </c>
      <c r="U34" s="102">
        <f>IF('Pořadí zápasů 8 Teams_Spielplan'!$L20="","",'Pořadí zápasů 8 Teams_Spielplan'!$L20)</f>
        <v>1</v>
      </c>
      <c r="V34" s="100" t="s">
        <v>8</v>
      </c>
      <c r="W34" s="109">
        <f>IF('Pořadí zápasů 8 Teams_Spielplan'!$N20="","",'Pořadí zápasů 8 Teams_Spielplan'!$N20)</f>
        <v>7</v>
      </c>
      <c r="X34" s="102">
        <f>IF('Pořadí zápasů 8 Teams_Spielplan'!$L29="","",'Pořadí zápasů 8 Teams_Spielplan'!$L29)</f>
        <v>1</v>
      </c>
      <c r="Y34" s="100" t="s">
        <v>8</v>
      </c>
      <c r="Z34" s="109">
        <f>IF('Pořadí zápasů 8 Teams_Spielplan'!$N29="","",'Pořadí zápasů 8 Teams_Spielplan'!$N29)</f>
        <v>2</v>
      </c>
      <c r="AA34" s="103"/>
      <c r="AB34" s="104" t="s">
        <v>8</v>
      </c>
      <c r="AC34" s="105"/>
      <c r="AD34" s="106">
        <f t="shared" si="1"/>
        <v>6</v>
      </c>
      <c r="AE34" s="150">
        <f>IF(C34="","",N31+N32+N33+O34+R34+U34+X34+AA34)</f>
        <v>9</v>
      </c>
      <c r="AF34" s="107" t="s">
        <v>8</v>
      </c>
      <c r="AG34" s="150">
        <f>IF(E34="","",L31+L32+L33+Q34+T34+W34+Z34+AC34)</f>
        <v>31</v>
      </c>
      <c r="AH34" s="148">
        <f>IF(C34="","",RANK(AD34,$AD$31:$AD$38))</f>
        <v>6</v>
      </c>
      <c r="AI34" s="151">
        <f t="shared" si="3"/>
        <v>-22</v>
      </c>
      <c r="AJ34" s="81"/>
      <c r="AO34" s="80"/>
      <c r="AP34" s="80"/>
      <c r="AQ34" s="80"/>
      <c r="AS34" s="49"/>
      <c r="AT34" s="57" t="s">
        <v>62</v>
      </c>
      <c r="AU34" s="57" t="s">
        <v>61</v>
      </c>
      <c r="AV34" s="57" t="s">
        <v>98</v>
      </c>
      <c r="AW34" s="56"/>
      <c r="AX34" s="56"/>
    </row>
    <row r="35" spans="1:50" ht="22.05" customHeight="1">
      <c r="A35" s="147">
        <v>5</v>
      </c>
      <c r="B35" s="187" t="str">
        <f t="shared" si="0"/>
        <v>Sokol Zlín Prštné 1</v>
      </c>
      <c r="C35" s="95">
        <f>IF(Q31="","",Q31)</f>
        <v>2</v>
      </c>
      <c r="D35" s="96" t="s">
        <v>8</v>
      </c>
      <c r="E35" s="96">
        <f>IF(O31="","",O31)</f>
        <v>2</v>
      </c>
      <c r="F35" s="95">
        <f>IF(Q32="","",Q32)</f>
        <v>2</v>
      </c>
      <c r="G35" s="96" t="s">
        <v>8</v>
      </c>
      <c r="H35" s="96">
        <f>IF(O32="","",O32)</f>
        <v>1</v>
      </c>
      <c r="I35" s="95">
        <f>IF(Q33="","",Q33)</f>
        <v>9</v>
      </c>
      <c r="J35" s="96" t="s">
        <v>8</v>
      </c>
      <c r="K35" s="96">
        <f>IF(O33="","",O33)</f>
        <v>0</v>
      </c>
      <c r="L35" s="95">
        <f>IF(Q34="","",Q34)</f>
        <v>7</v>
      </c>
      <c r="M35" s="96" t="s">
        <v>8</v>
      </c>
      <c r="N35" s="96">
        <f>IF(O34="","",O34)</f>
        <v>0</v>
      </c>
      <c r="O35" s="108"/>
      <c r="P35" s="98" t="s">
        <v>8</v>
      </c>
      <c r="Q35" s="98"/>
      <c r="R35" s="102">
        <f>IF('Pořadí zápasů 8 Teams_Spielplan'!$L8="","",'Pořadí zápasů 8 Teams_Spielplan'!$L8)</f>
        <v>5</v>
      </c>
      <c r="S35" s="100" t="s">
        <v>8</v>
      </c>
      <c r="T35" s="109">
        <f>IF('Pořadí zápasů 8 Teams_Spielplan'!$N8="","",'Pořadí zápasů 8 Teams_Spielplan'!$N8)</f>
        <v>0</v>
      </c>
      <c r="U35" s="99">
        <f>IF('Pořadí zápasů 8 Teams_Spielplan'!$L17="","",'Pořadí zápasů 8 Teams_Spielplan'!$L17)</f>
        <v>4</v>
      </c>
      <c r="V35" s="100" t="s">
        <v>8</v>
      </c>
      <c r="W35" s="101">
        <f>IF('Pořadí zápasů 8 Teams_Spielplan'!$N17="","",'Pořadí zápasů 8 Teams_Spielplan'!$N17)</f>
        <v>2</v>
      </c>
      <c r="X35" s="99">
        <f>IF('Pořadí zápasů 8 Teams_Spielplan'!$L14="","",'Pořadí zápasů 8 Teams_Spielplan'!$L14)</f>
        <v>5</v>
      </c>
      <c r="Y35" s="100" t="s">
        <v>8</v>
      </c>
      <c r="Z35" s="101">
        <f>IF('Pořadí zápasů 8 Teams_Spielplan'!$N14="","",'Pořadí zápasů 8 Teams_Spielplan'!$N14)</f>
        <v>3</v>
      </c>
      <c r="AA35" s="110"/>
      <c r="AB35" s="104" t="s">
        <v>8</v>
      </c>
      <c r="AC35" s="105"/>
      <c r="AD35" s="106">
        <f t="shared" si="1"/>
        <v>19</v>
      </c>
      <c r="AE35" s="150">
        <f>IF(C35="","",Q31+Q32+Q33+Q34+R35+U35+X35+AA35)</f>
        <v>34</v>
      </c>
      <c r="AF35" s="107" t="s">
        <v>8</v>
      </c>
      <c r="AG35" s="150">
        <f>IF(E35="","",O31+O32+O33+O34+T35+W35+Z35+AC35)</f>
        <v>8</v>
      </c>
      <c r="AH35" s="148">
        <f>IF(C35="","",RANK(AD35,$AD$31:$AD$38))+1</f>
        <v>2</v>
      </c>
      <c r="AI35" s="151">
        <f t="shared" si="3"/>
        <v>26</v>
      </c>
      <c r="AJ35" s="129" t="s">
        <v>184</v>
      </c>
      <c r="AO35" s="80"/>
      <c r="AP35" s="81"/>
      <c r="AQ35" s="81"/>
      <c r="AR35" s="81"/>
      <c r="AS35" s="49"/>
      <c r="AT35" s="71"/>
      <c r="AU35" s="71"/>
      <c r="AV35" s="74"/>
      <c r="AW35" s="56"/>
      <c r="AX35" s="56"/>
    </row>
    <row r="36" spans="1:50" s="21" customFormat="1" ht="22.05" customHeight="1">
      <c r="A36" s="147">
        <v>6</v>
      </c>
      <c r="B36" s="187" t="str">
        <f t="shared" si="0"/>
        <v>Sokol Zlín Prštné 2</v>
      </c>
      <c r="C36" s="95">
        <f>IF(T31="","",T31)</f>
        <v>0</v>
      </c>
      <c r="D36" s="96" t="s">
        <v>8</v>
      </c>
      <c r="E36" s="96">
        <f>IF(R31="","",R31)</f>
        <v>5</v>
      </c>
      <c r="F36" s="95">
        <f>IF(T32="","",T32)</f>
        <v>0</v>
      </c>
      <c r="G36" s="96" t="s">
        <v>8</v>
      </c>
      <c r="H36" s="96">
        <f>IF(R32="","",R32)</f>
        <v>5</v>
      </c>
      <c r="I36" s="95">
        <f>IF(T33="","",T33)</f>
        <v>0</v>
      </c>
      <c r="J36" s="96" t="s">
        <v>8</v>
      </c>
      <c r="K36" s="96">
        <f>IF(R33="","",R33)</f>
        <v>5</v>
      </c>
      <c r="L36" s="95">
        <f>IF(T34="","",T34)</f>
        <v>0</v>
      </c>
      <c r="M36" s="96" t="s">
        <v>8</v>
      </c>
      <c r="N36" s="96">
        <f>IF(R34="","",R34)</f>
        <v>5</v>
      </c>
      <c r="O36" s="95">
        <f>IF(T35="","",T35)</f>
        <v>0</v>
      </c>
      <c r="P36" s="96" t="s">
        <v>8</v>
      </c>
      <c r="Q36" s="96">
        <f>IF(R35="","",R35)</f>
        <v>5</v>
      </c>
      <c r="R36" s="111"/>
      <c r="S36" s="98" t="s">
        <v>8</v>
      </c>
      <c r="T36" s="112"/>
      <c r="U36" s="99">
        <f>IF('Pořadí zápasů 8 Teams_Spielplan'!$L31="","",'Pořadí zápasů 8 Teams_Spielplan'!$L31)</f>
        <v>0</v>
      </c>
      <c r="V36" s="100" t="s">
        <v>8</v>
      </c>
      <c r="W36" s="101">
        <f>IF('Pořadí zápasů 8 Teams_Spielplan'!$N31="","",'Pořadí zápasů 8 Teams_Spielplan'!$N31)</f>
        <v>5</v>
      </c>
      <c r="X36" s="99">
        <f>IF('Pořadí zápasů 8 Teams_Spielplan'!$L26="","",'Pořadí zápasů 8 Teams_Spielplan'!$L26)</f>
        <v>0</v>
      </c>
      <c r="Y36" s="100" t="s">
        <v>8</v>
      </c>
      <c r="Z36" s="101">
        <f>IF('Pořadí zápasů 8 Teams_Spielplan'!$N26="","",'Pořadí zápasů 8 Teams_Spielplan'!$N26)</f>
        <v>5</v>
      </c>
      <c r="AA36" s="103"/>
      <c r="AB36" s="104" t="s">
        <v>8</v>
      </c>
      <c r="AC36" s="105"/>
      <c r="AD36" s="106">
        <f t="shared" si="1"/>
        <v>0</v>
      </c>
      <c r="AE36" s="150">
        <f>IF(C36="","",T31+T32+T33+T34+T35+U36+X36+AA36)</f>
        <v>0</v>
      </c>
      <c r="AF36" s="107" t="s">
        <v>8</v>
      </c>
      <c r="AG36" s="150">
        <f>IF(E36="","",R31+R32+R33+R34+R35+W36+Z36+AC36)</f>
        <v>35</v>
      </c>
      <c r="AH36" s="148">
        <f>IF(C36="","",RANK(AD36,$AD$31:$AD$38))</f>
        <v>8</v>
      </c>
      <c r="AI36" s="151">
        <f t="shared" si="3"/>
        <v>-35</v>
      </c>
      <c r="AJ36" s="171" t="s">
        <v>167</v>
      </c>
      <c r="AK36"/>
      <c r="AL36"/>
      <c r="AM36"/>
      <c r="AN36"/>
      <c r="AO36" s="80"/>
      <c r="AP36" s="81"/>
      <c r="AQ36" s="81"/>
      <c r="AR36" s="81"/>
      <c r="AS36" s="60"/>
      <c r="AT36" s="71"/>
      <c r="AU36" s="71"/>
      <c r="AV36" s="74"/>
      <c r="AW36" s="72"/>
      <c r="AX36" s="72"/>
    </row>
    <row r="37" spans="1:50" s="21" customFormat="1" ht="22.05" customHeight="1">
      <c r="A37" s="147">
        <v>7</v>
      </c>
      <c r="B37" s="187" t="str">
        <f t="shared" si="0"/>
        <v>MILO Olomouc 1</v>
      </c>
      <c r="C37" s="95">
        <f>IF(W31="","",W31)</f>
        <v>2</v>
      </c>
      <c r="D37" s="96" t="s">
        <v>8</v>
      </c>
      <c r="E37" s="96">
        <f>IF(U31="","",U31)</f>
        <v>9</v>
      </c>
      <c r="F37" s="95">
        <f>IF(W32="","",W32)</f>
        <v>1</v>
      </c>
      <c r="G37" s="96" t="s">
        <v>8</v>
      </c>
      <c r="H37" s="96">
        <f>IF(U32="","",U32)</f>
        <v>4</v>
      </c>
      <c r="I37" s="95">
        <f>IF(W33="","",W33)</f>
        <v>7</v>
      </c>
      <c r="J37" s="96" t="s">
        <v>8</v>
      </c>
      <c r="K37" s="96">
        <f>IF(U33="","",U33)</f>
        <v>1</v>
      </c>
      <c r="L37" s="95">
        <f>IF(W34="","",W34)</f>
        <v>7</v>
      </c>
      <c r="M37" s="96" t="s">
        <v>8</v>
      </c>
      <c r="N37" s="96">
        <f>IF(U34="","",U34)</f>
        <v>1</v>
      </c>
      <c r="O37" s="95">
        <f>IF(W35="","",W35)</f>
        <v>2</v>
      </c>
      <c r="P37" s="96" t="s">
        <v>8</v>
      </c>
      <c r="Q37" s="96">
        <f>IF(U35="","",U35)</f>
        <v>4</v>
      </c>
      <c r="R37" s="95">
        <f>IF(W36="","",W36)</f>
        <v>5</v>
      </c>
      <c r="S37" s="96" t="s">
        <v>8</v>
      </c>
      <c r="T37" s="96">
        <f>IF(U36="","",U36)</f>
        <v>0</v>
      </c>
      <c r="U37" s="111"/>
      <c r="V37" s="98" t="s">
        <v>8</v>
      </c>
      <c r="W37" s="112"/>
      <c r="X37" s="102">
        <f>IF('Pořadí zápasů 8 Teams_Spielplan'!$L9="","",'Pořadí zápasů 8 Teams_Spielplan'!$L9)</f>
        <v>5</v>
      </c>
      <c r="Y37" s="100" t="s">
        <v>8</v>
      </c>
      <c r="Z37" s="109">
        <f>IF('Pořadí zápasů 8 Teams_Spielplan'!$N9="","",'Pořadí zápasů 8 Teams_Spielplan'!$N9)</f>
        <v>1</v>
      </c>
      <c r="AA37" s="103"/>
      <c r="AB37" s="104" t="s">
        <v>8</v>
      </c>
      <c r="AC37" s="145"/>
      <c r="AD37" s="106">
        <f t="shared" si="1"/>
        <v>12</v>
      </c>
      <c r="AE37" s="150">
        <f>IF(C37="","",W31+W32+W33+W34+W35+W36+X37+AA37)</f>
        <v>29</v>
      </c>
      <c r="AF37" s="107" t="s">
        <v>8</v>
      </c>
      <c r="AG37" s="150">
        <f>IF(E37="","",U31+U32+U33+U34+U35+U36+Z37+AC37)</f>
        <v>20</v>
      </c>
      <c r="AH37" s="148">
        <f>IF(C37="","",RANK(AD37,$AD$31:$AD$38))</f>
        <v>4</v>
      </c>
      <c r="AI37" s="151">
        <f t="shared" si="3"/>
        <v>9</v>
      </c>
      <c r="AJ37" s="171" t="s">
        <v>143</v>
      </c>
      <c r="AK37"/>
      <c r="AL37"/>
      <c r="AM37"/>
      <c r="AN37"/>
      <c r="AO37" s="80"/>
      <c r="AP37" s="81"/>
      <c r="AQ37" s="81"/>
      <c r="AR37" s="23"/>
      <c r="AS37" s="60"/>
      <c r="AT37" s="71"/>
      <c r="AU37" s="71"/>
      <c r="AV37" s="74"/>
      <c r="AW37" s="72"/>
      <c r="AX37" s="72"/>
    </row>
    <row r="38" spans="1:50" s="21" customFormat="1" ht="22.05" customHeight="1">
      <c r="A38" s="147">
        <v>8</v>
      </c>
      <c r="B38" s="187" t="str">
        <f t="shared" si="0"/>
        <v>MILO Olomouc 2</v>
      </c>
      <c r="C38" s="95">
        <f>IF(Z31="","",Z31)</f>
        <v>1</v>
      </c>
      <c r="D38" s="96" t="s">
        <v>8</v>
      </c>
      <c r="E38" s="96">
        <f>IF(X31="","",X31)</f>
        <v>5</v>
      </c>
      <c r="F38" s="95">
        <f>IF(Z32="","",Z32)</f>
        <v>0</v>
      </c>
      <c r="G38" s="96" t="s">
        <v>8</v>
      </c>
      <c r="H38" s="96">
        <f>IF(X32="","",X32)</f>
        <v>8</v>
      </c>
      <c r="I38" s="95">
        <f>IF(Z33="","",Z33)</f>
        <v>6</v>
      </c>
      <c r="J38" s="96" t="s">
        <v>8</v>
      </c>
      <c r="K38" s="96">
        <f>IF(X33="","",X33)</f>
        <v>0</v>
      </c>
      <c r="L38" s="95">
        <f>IF(Z34="","",Z34)</f>
        <v>2</v>
      </c>
      <c r="M38" s="96" t="s">
        <v>8</v>
      </c>
      <c r="N38" s="96">
        <f>IF(X34="","",X34)</f>
        <v>1</v>
      </c>
      <c r="O38" s="95">
        <f>IF(Z35="","",Z35)</f>
        <v>3</v>
      </c>
      <c r="P38" s="96" t="s">
        <v>8</v>
      </c>
      <c r="Q38" s="96">
        <f>IF(X35="","",X35)</f>
        <v>5</v>
      </c>
      <c r="R38" s="95">
        <f>IF(Z36="","",Z36)</f>
        <v>5</v>
      </c>
      <c r="S38" s="96" t="s">
        <v>8</v>
      </c>
      <c r="T38" s="96">
        <f>IF(X36="","",X36)</f>
        <v>0</v>
      </c>
      <c r="U38" s="99">
        <f>IF(Z37="","",Z37)</f>
        <v>1</v>
      </c>
      <c r="V38" s="100" t="s">
        <v>8</v>
      </c>
      <c r="W38" s="101">
        <f>IF(X37="","",X37)</f>
        <v>5</v>
      </c>
      <c r="X38" s="111"/>
      <c r="Y38" s="98" t="s">
        <v>8</v>
      </c>
      <c r="Z38" s="112"/>
      <c r="AA38" s="103"/>
      <c r="AB38" s="104" t="s">
        <v>8</v>
      </c>
      <c r="AC38" s="145"/>
      <c r="AD38" s="106">
        <f t="shared" si="1"/>
        <v>9</v>
      </c>
      <c r="AE38" s="150">
        <f>IF(C38="","",Z31+Z32+Z33+Z34+Z35+Z36+Z37+AA38)</f>
        <v>18</v>
      </c>
      <c r="AF38" s="107" t="s">
        <v>8</v>
      </c>
      <c r="AG38" s="150">
        <f>IF(E38="","",X31+X32+X33+X34+X35+X36+X37+AC38)</f>
        <v>24</v>
      </c>
      <c r="AH38" s="148">
        <f>IF(C38="","",RANK(AD38,$AD$31:$AD$38))</f>
        <v>5</v>
      </c>
      <c r="AI38" s="151">
        <f>IF(C38="","",AE38-AG38)</f>
        <v>-6</v>
      </c>
      <c r="AJ38" s="171" t="s">
        <v>188</v>
      </c>
      <c r="AK38"/>
      <c r="AL38"/>
      <c r="AM38"/>
      <c r="AN38"/>
      <c r="AO38" s="80"/>
      <c r="AP38" s="81"/>
      <c r="AQ38" s="81"/>
      <c r="AR38" s="23"/>
      <c r="AS38" s="60"/>
      <c r="AT38" s="71"/>
      <c r="AU38" s="71"/>
      <c r="AV38" s="74"/>
      <c r="AW38" s="72"/>
      <c r="AX38" s="72"/>
    </row>
    <row r="39" spans="1:50" ht="9.75" customHeight="1">
      <c r="AS39" s="49"/>
      <c r="AT39" s="57" t="s">
        <v>155</v>
      </c>
      <c r="AU39" s="57" t="s">
        <v>58</v>
      </c>
      <c r="AV39" s="57" t="s">
        <v>99</v>
      </c>
      <c r="AW39" s="56"/>
      <c r="AX39" s="56"/>
    </row>
    <row r="40" spans="1:50" ht="20.100000000000001" customHeight="1" thickBot="1">
      <c r="K40" s="18"/>
      <c r="X40" s="24"/>
      <c r="Y40" s="75"/>
      <c r="Z40" s="75"/>
      <c r="AA40" s="75"/>
      <c r="AB40" s="75"/>
      <c r="AC40" s="76" t="str">
        <f>INDEX(AT28:AV28,$AJ$4)</f>
        <v>Kontrola:</v>
      </c>
      <c r="AD40" s="177">
        <f>IF(AE31="","",SUM(AD31:AD38))</f>
        <v>83</v>
      </c>
      <c r="AE40" s="152">
        <f>IF(AE31="","",SUM(AE31:AE38))</f>
        <v>163</v>
      </c>
      <c r="AF40" s="178" t="s">
        <v>8</v>
      </c>
      <c r="AG40" s="179">
        <f>IF(AG31="","",SUM(AG31:AG38))</f>
        <v>163</v>
      </c>
      <c r="AH40" s="180"/>
      <c r="AI40" s="177">
        <f>IF(AI31="","",SUM(AI31:AI38))</f>
        <v>0</v>
      </c>
      <c r="AJ40" s="58"/>
      <c r="AK40" s="58"/>
      <c r="AS40" s="49"/>
      <c r="AT40" s="57" t="s">
        <v>73</v>
      </c>
      <c r="AU40" s="57" t="s">
        <v>59</v>
      </c>
      <c r="AV40" s="57" t="s">
        <v>100</v>
      </c>
      <c r="AW40" s="56"/>
      <c r="AX40" s="56"/>
    </row>
    <row r="41" spans="1:50" ht="20.100000000000001" customHeight="1" thickBot="1">
      <c r="A41" s="275" t="str">
        <f>INDEX(AT27:AV27,$AJ$4)</f>
        <v>Různé</v>
      </c>
      <c r="B41" s="278"/>
      <c r="C41" s="278"/>
      <c r="D41" s="278"/>
      <c r="E41" s="278"/>
      <c r="F41" s="278"/>
      <c r="G41" s="278"/>
      <c r="H41" s="279"/>
      <c r="I41" s="113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S41" s="49"/>
      <c r="AT41" s="57" t="s">
        <v>74</v>
      </c>
      <c r="AU41" s="57" t="s">
        <v>60</v>
      </c>
      <c r="AV41" s="57" t="s">
        <v>101</v>
      </c>
      <c r="AW41" s="56"/>
      <c r="AX41" s="56"/>
    </row>
    <row r="42" spans="1:50" ht="16.95" customHeight="1">
      <c r="A42" s="182"/>
      <c r="B42" s="185" t="s">
        <v>255</v>
      </c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S42" s="49"/>
      <c r="AT42" s="57" t="s">
        <v>57</v>
      </c>
      <c r="AU42" s="57" t="s">
        <v>56</v>
      </c>
      <c r="AV42" s="57" t="s">
        <v>56</v>
      </c>
      <c r="AW42" s="56"/>
      <c r="AX42" s="56"/>
    </row>
    <row r="43" spans="1:50" ht="16.95" customHeight="1">
      <c r="A43" s="184"/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T43" s="56"/>
      <c r="AU43" s="56"/>
      <c r="AV43" s="56"/>
      <c r="AW43" s="56"/>
      <c r="AX43" s="56"/>
    </row>
    <row r="44" spans="1:50" ht="16.95" customHeight="1">
      <c r="A44" s="184"/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T44" s="56"/>
      <c r="AU44" s="56"/>
      <c r="AV44" s="56"/>
      <c r="AW44" s="56"/>
      <c r="AX44" s="56"/>
    </row>
    <row r="45" spans="1:50" ht="16.95" customHeight="1">
      <c r="A45" s="184"/>
      <c r="B45" s="250" t="s">
        <v>246</v>
      </c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T45" s="56"/>
      <c r="AU45" s="56"/>
      <c r="AV45" s="56"/>
      <c r="AW45" s="56"/>
      <c r="AX45" s="56"/>
    </row>
    <row r="46" spans="1:50" ht="16.95" customHeight="1">
      <c r="A46" s="184"/>
      <c r="B46" s="227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T46" s="56"/>
      <c r="AU46" s="56"/>
      <c r="AV46" s="56"/>
      <c r="AW46" s="56"/>
      <c r="AX46" s="56"/>
    </row>
    <row r="47" spans="1:50" ht="16.95" customHeight="1">
      <c r="A47" s="184"/>
      <c r="B47" s="206" t="s">
        <v>227</v>
      </c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</row>
    <row r="48" spans="1:50" ht="13.8">
      <c r="B48" s="10" t="str">
        <f>INDEX(AT29:AV29,$AJ$4)</f>
        <v>Za pořadatele:</v>
      </c>
      <c r="C48" s="4"/>
      <c r="D48" s="4"/>
      <c r="E48" s="4"/>
      <c r="F48" s="4"/>
      <c r="G48" s="4"/>
      <c r="I48" s="4"/>
      <c r="J48" s="4"/>
      <c r="K48" s="4"/>
      <c r="L48" s="4"/>
      <c r="M48" s="4"/>
      <c r="N48" s="4"/>
      <c r="Q48" s="10" t="str">
        <f>INDEX(AT22:AV22,$AJ$4)</f>
        <v>Rozhodčí:</v>
      </c>
    </row>
    <row r="52" spans="1:47" ht="13.8" thickBot="1">
      <c r="AL52" s="81"/>
    </row>
    <row r="53" spans="1:47" ht="24" customHeight="1" thickBot="1">
      <c r="A53" s="275" t="str">
        <f>INDEX(AT30:AV30,$AJ$4)</f>
        <v>Konečné pořadí</v>
      </c>
      <c r="B53" s="276"/>
      <c r="C53" s="276"/>
      <c r="D53" s="276"/>
      <c r="E53" s="276"/>
      <c r="F53" s="276"/>
      <c r="G53" s="276"/>
      <c r="H53" s="277"/>
      <c r="AE53"/>
      <c r="AG53"/>
    </row>
    <row r="54" spans="1:47" ht="10.5" customHeight="1"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AE54"/>
      <c r="AG54"/>
    </row>
    <row r="55" spans="1:47" ht="14.25" customHeight="1">
      <c r="A55" s="46" t="str">
        <f>INDEX(AT31:AV31,$AJ$4)</f>
        <v>Poř</v>
      </c>
      <c r="B55" s="144" t="str">
        <f>INDEX(AT32:AV32,$AJ$4)</f>
        <v>Těl. spolek - klub</v>
      </c>
      <c r="C55" s="265" t="str">
        <f>INDEX(AT33:AV33,$AJ$4)</f>
        <v>Jména</v>
      </c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6"/>
      <c r="Q55" s="267"/>
      <c r="R55" s="283" t="str">
        <f>INDEX(AT34:AV34,$AJ$4)</f>
        <v>Počet</v>
      </c>
      <c r="S55" s="283"/>
      <c r="T55" s="283"/>
      <c r="U55" s="283" t="str">
        <f>INDEX(AT39:AV39,$AJ$4)</f>
        <v>Výhry</v>
      </c>
      <c r="V55" s="283"/>
      <c r="W55" s="283"/>
      <c r="X55" s="283" t="str">
        <f>INDEX(AT40:AV40,$AJ$4)</f>
        <v>Rem.</v>
      </c>
      <c r="Y55" s="283"/>
      <c r="Z55" s="283"/>
      <c r="AA55" s="283" t="str">
        <f>INDEX(AT41:AV41,$AJ$4)</f>
        <v>Prohry</v>
      </c>
      <c r="AB55" s="283"/>
      <c r="AC55" s="283"/>
      <c r="AD55" s="52" t="str">
        <f>INDEX(AT24:AV24,$AJ$4)</f>
        <v>Body</v>
      </c>
      <c r="AE55" s="43" t="str">
        <f>INDEX(AT25:AV25,$AJ$4)</f>
        <v>Branky</v>
      </c>
      <c r="AF55" s="44"/>
      <c r="AG55" s="43"/>
      <c r="AH55" s="45" t="str">
        <f>INDEX(AT42:AV42,$AJ$4)</f>
        <v>Rozdíl</v>
      </c>
      <c r="AJ55" s="81" t="s">
        <v>152</v>
      </c>
      <c r="AL55" s="139"/>
      <c r="AM55" s="139"/>
      <c r="AN55" s="139"/>
      <c r="AO55" s="143" t="s">
        <v>148</v>
      </c>
      <c r="AP55" s="143" t="s">
        <v>149</v>
      </c>
      <c r="AQ55" s="143" t="s">
        <v>150</v>
      </c>
      <c r="AR55" s="143" t="s">
        <v>151</v>
      </c>
      <c r="AS55" s="139" t="s">
        <v>153</v>
      </c>
      <c r="AT55" s="139" t="s">
        <v>154</v>
      </c>
      <c r="AU55" s="139" t="s">
        <v>154</v>
      </c>
    </row>
    <row r="56" spans="1:47" ht="18" customHeight="1">
      <c r="A56" s="244" t="s">
        <v>10</v>
      </c>
      <c r="B56" s="214" t="str">
        <f>IF(AK56="","",VLOOKUP(1,$AK$56:$AU$63,2,0))</f>
        <v>Sokol Šitbořice 1</v>
      </c>
      <c r="C56" s="215" t="str">
        <f>IF(AK56="","",VLOOKUP(1,$AK$56:$AU$63,3,0))</f>
        <v>Kyzlink Filip</v>
      </c>
      <c r="D56" s="216"/>
      <c r="E56" s="216"/>
      <c r="F56" s="217"/>
      <c r="G56" s="217"/>
      <c r="H56" s="217"/>
      <c r="I56" s="217"/>
      <c r="J56" s="217" t="s">
        <v>144</v>
      </c>
      <c r="K56" s="217" t="str">
        <f>IF(AK56="","",VLOOKUP(1,$AK$56:$AU$63,4,0))</f>
        <v>Šabata Matěj</v>
      </c>
      <c r="L56" s="217"/>
      <c r="M56" s="217"/>
      <c r="N56" s="217"/>
      <c r="O56" s="217"/>
      <c r="P56" s="217"/>
      <c r="Q56" s="218"/>
      <c r="R56" s="268">
        <f>IF(AK56="","",VLOOKUP(1,$AK$56:$AU$63,5,0))</f>
        <v>7</v>
      </c>
      <c r="S56" s="268"/>
      <c r="T56" s="268"/>
      <c r="U56" s="268">
        <f>IF(AK56="","",VLOOKUP(1,$AK$56:$AU$63,6,0))</f>
        <v>6</v>
      </c>
      <c r="V56" s="268"/>
      <c r="W56" s="268"/>
      <c r="X56" s="268">
        <f>IF(AK56="","",VLOOKUP(1,$AK$56:$AU$63,7,0))</f>
        <v>1</v>
      </c>
      <c r="Y56" s="268"/>
      <c r="Z56" s="268"/>
      <c r="AA56" s="268">
        <f>IF(AK56="","",VLOOKUP(1,$AK$56:$AU$63,8,0))</f>
        <v>0</v>
      </c>
      <c r="AB56" s="268"/>
      <c r="AC56" s="268"/>
      <c r="AD56" s="219">
        <f>IF(AK56="","",VLOOKUP(1,$AK$56:$AU$63,9,0))</f>
        <v>19</v>
      </c>
      <c r="AE56" s="220">
        <f>IF(AK56="","",VLOOKUP(1,$AK$56:$AU$63,10,0))</f>
        <v>37</v>
      </c>
      <c r="AF56" s="220" t="s">
        <v>8</v>
      </c>
      <c r="AG56" s="220">
        <f>IF(AK56="","",VLOOKUP(1,$AK$56:$AU$63,11,0))</f>
        <v>7</v>
      </c>
      <c r="AH56" s="221">
        <f t="shared" ref="AH56:AH62" si="4">IF(AK56="","",AE56-AG56)</f>
        <v>30</v>
      </c>
      <c r="AI56" s="15"/>
      <c r="AJ56" s="15"/>
      <c r="AK56" s="128">
        <f>AH31</f>
        <v>1</v>
      </c>
      <c r="AL56" t="str">
        <f>B12</f>
        <v>Sokol Šitbořice 1</v>
      </c>
      <c r="AM56" s="130" t="str">
        <f>F12</f>
        <v>Kyzlink Filip</v>
      </c>
      <c r="AN56" t="str">
        <f>W12</f>
        <v>Šabata Matěj</v>
      </c>
      <c r="AO56">
        <f>'Pořadí zápasů 8 Teams_Spielplan'!S6</f>
        <v>7</v>
      </c>
      <c r="AP56">
        <f>'Pořadí zápasů 8 Teams_Spielplan'!U6</f>
        <v>6</v>
      </c>
      <c r="AQ56">
        <f>'Pořadí zápasů 8 Teams_Spielplan'!V6</f>
        <v>1</v>
      </c>
      <c r="AR56">
        <f>'Pořadí zápasů 8 Teams_Spielplan'!W6</f>
        <v>0</v>
      </c>
      <c r="AS56" s="130">
        <f t="shared" ref="AS56:AT62" si="5">AD31</f>
        <v>19</v>
      </c>
      <c r="AT56" s="131">
        <f t="shared" si="5"/>
        <v>37</v>
      </c>
      <c r="AU56" s="131">
        <f t="shared" ref="AU56:AU62" si="6">AG31</f>
        <v>7</v>
      </c>
    </row>
    <row r="57" spans="1:47" ht="18" customHeight="1">
      <c r="A57" s="244" t="s">
        <v>11</v>
      </c>
      <c r="B57" s="214" t="str">
        <f>IF(AK57="","",VLOOKUP(2,$AK$56:$AU$63,2,0))</f>
        <v>Sokol Zlín Prštné 1</v>
      </c>
      <c r="C57" s="215" t="str">
        <f>IF(AK57="","",VLOOKUP(2,$AK$56:$AU$63,3,0))</f>
        <v xml:space="preserve">Hobza Robert </v>
      </c>
      <c r="D57" s="216"/>
      <c r="E57" s="216"/>
      <c r="F57" s="217"/>
      <c r="G57" s="217"/>
      <c r="H57" s="217"/>
      <c r="I57" s="217"/>
      <c r="J57" s="217" t="s">
        <v>144</v>
      </c>
      <c r="K57" s="217" t="str">
        <f>IF(AK57="","",VLOOKUP(2,$AK$56:$AU$63,4,0))</f>
        <v>Samsonek Vít</v>
      </c>
      <c r="L57" s="217"/>
      <c r="M57" s="217"/>
      <c r="N57" s="217"/>
      <c r="O57" s="217"/>
      <c r="P57" s="217"/>
      <c r="Q57" s="218"/>
      <c r="R57" s="268">
        <f>IF(AK57="","",VLOOKUP(2,$AK$56:$AU$63,5,0))</f>
        <v>7</v>
      </c>
      <c r="S57" s="268"/>
      <c r="T57" s="268"/>
      <c r="U57" s="268">
        <f>IF(AK57="","",VLOOKUP(2,$AK$56:$AU$63,6,0))</f>
        <v>6</v>
      </c>
      <c r="V57" s="268"/>
      <c r="W57" s="268"/>
      <c r="X57" s="268">
        <f>IF(AK57="","",VLOOKUP(2,$AK$56:$AU$63,7,0))</f>
        <v>1</v>
      </c>
      <c r="Y57" s="268"/>
      <c r="Z57" s="268"/>
      <c r="AA57" s="268">
        <f>IF(AK57="","",VLOOKUP(2,$AK$56:$AU$63,8,0))</f>
        <v>0</v>
      </c>
      <c r="AB57" s="268"/>
      <c r="AC57" s="268"/>
      <c r="AD57" s="219">
        <f>IF(AK57="","",VLOOKUP(2,$AK$56:$AU$63,9,0))</f>
        <v>19</v>
      </c>
      <c r="AE57" s="220">
        <f>IF(AK57="","",VLOOKUP(2,$AK$56:$AU$63,10,0))</f>
        <v>34</v>
      </c>
      <c r="AF57" s="220" t="s">
        <v>8</v>
      </c>
      <c r="AG57" s="220">
        <f>IF(AK57="","",VLOOKUP(2,$AK$56:$AU$63,11,0))</f>
        <v>8</v>
      </c>
      <c r="AH57" s="221">
        <f t="shared" si="4"/>
        <v>26</v>
      </c>
      <c r="AI57" s="15"/>
      <c r="AJ57" s="173" t="s">
        <v>168</v>
      </c>
      <c r="AK57" s="128">
        <f t="shared" ref="AK57:AK62" si="7">AH32</f>
        <v>3</v>
      </c>
      <c r="AL57" t="str">
        <f t="shared" ref="AL57:AL62" si="8">B13</f>
        <v>Sokol Šitbořice 2</v>
      </c>
      <c r="AM57" s="130" t="str">
        <f t="shared" ref="AM57:AM62" si="9">F13</f>
        <v xml:space="preserve">Doležal Mikuláš </v>
      </c>
      <c r="AN57" t="str">
        <f t="shared" ref="AN57:AN62" si="10">W13</f>
        <v>Doležal Vítek</v>
      </c>
      <c r="AO57">
        <f>'Pořadí zápasů 8 Teams_Spielplan'!S7</f>
        <v>7</v>
      </c>
      <c r="AP57">
        <f>'Pořadí zápasů 8 Teams_Spielplan'!U7</f>
        <v>5</v>
      </c>
      <c r="AQ57">
        <f>'Pořadí zápasů 8 Teams_Spielplan'!V7</f>
        <v>0</v>
      </c>
      <c r="AR57">
        <f>'Pořadí zápasů 8 Teams_Spielplan'!W7</f>
        <v>2</v>
      </c>
      <c r="AS57" s="130">
        <f t="shared" si="5"/>
        <v>15</v>
      </c>
      <c r="AT57" s="131">
        <f t="shared" si="5"/>
        <v>30</v>
      </c>
      <c r="AU57" s="131">
        <f t="shared" si="6"/>
        <v>6</v>
      </c>
    </row>
    <row r="58" spans="1:47" ht="18" customHeight="1">
      <c r="A58" s="244" t="s">
        <v>15</v>
      </c>
      <c r="B58" s="214" t="str">
        <f>IF(AK58="","",VLOOKUP(3,$AK$56:$AU$63,2,0))</f>
        <v>Sokol Šitbořice 2</v>
      </c>
      <c r="C58" s="215" t="str">
        <f>IF(AK58="","",VLOOKUP(3,$AK$56:$AU$63,3,0))</f>
        <v xml:space="preserve">Doležal Mikuláš </v>
      </c>
      <c r="D58" s="216"/>
      <c r="E58" s="216"/>
      <c r="F58" s="217"/>
      <c r="G58" s="217"/>
      <c r="H58" s="217"/>
      <c r="I58" s="217"/>
      <c r="J58" s="217" t="s">
        <v>144</v>
      </c>
      <c r="K58" s="217" t="str">
        <f>IF(AK58="","",VLOOKUP(3,$AK$56:$AU$63,4,0))</f>
        <v>Doležal Vítek</v>
      </c>
      <c r="L58" s="217"/>
      <c r="M58" s="217"/>
      <c r="N58" s="217"/>
      <c r="O58" s="217"/>
      <c r="P58" s="217"/>
      <c r="Q58" s="218"/>
      <c r="R58" s="268">
        <f>IF(AK58="","",VLOOKUP(3,$AK$56:$AU$63,5,0))</f>
        <v>7</v>
      </c>
      <c r="S58" s="268"/>
      <c r="T58" s="268"/>
      <c r="U58" s="268">
        <f>IF(AK58="","",VLOOKUP(3,$AK$56:$AU$63,6,0))</f>
        <v>5</v>
      </c>
      <c r="V58" s="268"/>
      <c r="W58" s="268"/>
      <c r="X58" s="268">
        <f>IF(AK58="","",VLOOKUP(3,$AK$56:$AU$63,7,0))</f>
        <v>0</v>
      </c>
      <c r="Y58" s="268"/>
      <c r="Z58" s="268"/>
      <c r="AA58" s="268">
        <f>IF(AK58="","",VLOOKUP(3,$AK$56:$AU$63,8,0))</f>
        <v>2</v>
      </c>
      <c r="AB58" s="268"/>
      <c r="AC58" s="268"/>
      <c r="AD58" s="219">
        <f>IF(AK58="","",VLOOKUP(3,$AK$56:$AU$63,9,0))</f>
        <v>15</v>
      </c>
      <c r="AE58" s="220">
        <f>IF(AK58="","",VLOOKUP(3,$AK$56:$AU$63,10,0))</f>
        <v>30</v>
      </c>
      <c r="AF58" s="220" t="s">
        <v>8</v>
      </c>
      <c r="AG58" s="220">
        <f>IF(AK58="","",VLOOKUP(3,$AK$56:$AU$63,11,0))</f>
        <v>6</v>
      </c>
      <c r="AH58" s="221">
        <f t="shared" si="4"/>
        <v>24</v>
      </c>
      <c r="AI58" s="15"/>
      <c r="AJ58" s="173" t="s">
        <v>170</v>
      </c>
      <c r="AK58" s="128">
        <f t="shared" si="7"/>
        <v>7</v>
      </c>
      <c r="AL58" t="str">
        <f t="shared" si="8"/>
        <v>Sokol Šitbořice 3</v>
      </c>
      <c r="AM58" s="130" t="str">
        <f t="shared" si="9"/>
        <v>Klain Patrik</v>
      </c>
      <c r="AN58" t="str">
        <f t="shared" si="10"/>
        <v>Mayer Václav</v>
      </c>
      <c r="AO58">
        <f>'Pořadí zápasů 8 Teams_Spielplan'!S8</f>
        <v>7</v>
      </c>
      <c r="AP58">
        <f>'Pořadí zápasů 8 Teams_Spielplan'!U8</f>
        <v>1</v>
      </c>
      <c r="AQ58">
        <f>'Pořadí zápasů 8 Teams_Spielplan'!V8</f>
        <v>0</v>
      </c>
      <c r="AR58">
        <f>'Pořadí zápasů 8 Teams_Spielplan'!W8</f>
        <v>6</v>
      </c>
      <c r="AS58" s="130">
        <f t="shared" si="5"/>
        <v>3</v>
      </c>
      <c r="AT58" s="131">
        <f t="shared" si="5"/>
        <v>6</v>
      </c>
      <c r="AU58" s="131">
        <f t="shared" si="6"/>
        <v>32</v>
      </c>
    </row>
    <row r="59" spans="1:47" ht="18" customHeight="1">
      <c r="A59" s="244" t="s">
        <v>14</v>
      </c>
      <c r="B59" s="214" t="str">
        <f>IF(AK59="","",VLOOKUP(4,$AK$56:$AU$63,2,0))</f>
        <v>MILO Olomouc 1</v>
      </c>
      <c r="C59" s="215" t="str">
        <f>IF(AK59="","",VLOOKUP(4,$AK$56:$AU$63,3,0))</f>
        <v>Klesnil Lukáš</v>
      </c>
      <c r="D59" s="216"/>
      <c r="E59" s="216"/>
      <c r="F59" s="217"/>
      <c r="G59" s="217"/>
      <c r="H59" s="217"/>
      <c r="I59" s="217"/>
      <c r="J59" s="217" t="s">
        <v>144</v>
      </c>
      <c r="K59" s="217" t="str">
        <f>IF(AK59="","",VLOOKUP(4,$AK$56:$AU$63,4,0))</f>
        <v xml:space="preserve">Sedláček Jan </v>
      </c>
      <c r="L59" s="217"/>
      <c r="M59" s="217"/>
      <c r="N59" s="217"/>
      <c r="O59" s="217"/>
      <c r="P59" s="217"/>
      <c r="Q59" s="218"/>
      <c r="R59" s="268">
        <f>IF(AK59="","",VLOOKUP(4,$AK$56:$AU$63,5,0))</f>
        <v>7</v>
      </c>
      <c r="S59" s="268"/>
      <c r="T59" s="268"/>
      <c r="U59" s="268">
        <f>IF(AK59="","",VLOOKUP(4,$AK$56:$AU$63,6,0))</f>
        <v>4</v>
      </c>
      <c r="V59" s="268"/>
      <c r="W59" s="268"/>
      <c r="X59" s="268">
        <f>IF(AK59="","",VLOOKUP(4,$AK$56:$AU$63,7,0))</f>
        <v>0</v>
      </c>
      <c r="Y59" s="268"/>
      <c r="Z59" s="268"/>
      <c r="AA59" s="268">
        <f>IF(AK59="","",VLOOKUP(4,$AK$56:$AU$63,8,0))</f>
        <v>3</v>
      </c>
      <c r="AB59" s="268"/>
      <c r="AC59" s="268"/>
      <c r="AD59" s="219">
        <f>IF(AK59="","",VLOOKUP(4,$AK$56:$AU$63,9,0))</f>
        <v>12</v>
      </c>
      <c r="AE59" s="220">
        <f>IF(AK59="","",VLOOKUP(4,$AK$56:$AU$63,10,0))</f>
        <v>29</v>
      </c>
      <c r="AF59" s="220" t="s">
        <v>8</v>
      </c>
      <c r="AG59" s="220">
        <f>IF(AK59="","",VLOOKUP(4,$AK$56:$AU$63,11,0))</f>
        <v>20</v>
      </c>
      <c r="AH59" s="221">
        <f t="shared" si="4"/>
        <v>9</v>
      </c>
      <c r="AI59" s="15"/>
      <c r="AJ59" s="15"/>
      <c r="AK59" s="128">
        <f t="shared" si="7"/>
        <v>6</v>
      </c>
      <c r="AL59" t="str">
        <f t="shared" si="8"/>
        <v>SC Svitávka</v>
      </c>
      <c r="AM59" s="130" t="str">
        <f t="shared" si="9"/>
        <v>Kučera Vít</v>
      </c>
      <c r="AN59" t="str">
        <f t="shared" si="10"/>
        <v>Cettl Jakub</v>
      </c>
      <c r="AO59">
        <f>'Pořadí zápasů 8 Teams_Spielplan'!S9</f>
        <v>7</v>
      </c>
      <c r="AP59">
        <f>'Pořadí zápasů 8 Teams_Spielplan'!U9</f>
        <v>2</v>
      </c>
      <c r="AQ59">
        <f>'Pořadí zápasů 8 Teams_Spielplan'!V9</f>
        <v>0</v>
      </c>
      <c r="AR59">
        <f>'Pořadí zápasů 8 Teams_Spielplan'!W9</f>
        <v>5</v>
      </c>
      <c r="AS59" s="130">
        <f t="shared" si="5"/>
        <v>6</v>
      </c>
      <c r="AT59" s="131">
        <f t="shared" si="5"/>
        <v>9</v>
      </c>
      <c r="AU59" s="131">
        <f t="shared" si="6"/>
        <v>31</v>
      </c>
    </row>
    <row r="60" spans="1:47" ht="18" customHeight="1">
      <c r="A60" s="245" t="s">
        <v>12</v>
      </c>
      <c r="B60" s="246" t="str">
        <f>IF(AK60="","",VLOOKUP(5,$AK$56:$AU$63,2,0))</f>
        <v>MILO Olomouc 2</v>
      </c>
      <c r="C60" s="215" t="str">
        <f>IF(AK60="","",VLOOKUP(5,$AK$56:$AU$63,3,0))</f>
        <v xml:space="preserve">Klesnil Vilém </v>
      </c>
      <c r="D60" s="216"/>
      <c r="E60" s="216"/>
      <c r="F60" s="247"/>
      <c r="G60" s="247"/>
      <c r="H60" s="247"/>
      <c r="I60" s="247"/>
      <c r="J60" s="217" t="s">
        <v>144</v>
      </c>
      <c r="K60" s="217" t="str">
        <f>IF(AK60="","",VLOOKUP(5,$AK$56:$AU$63,4,0))</f>
        <v>Šimlík Bohdan</v>
      </c>
      <c r="L60" s="247"/>
      <c r="M60" s="247"/>
      <c r="N60" s="247"/>
      <c r="O60" s="247"/>
      <c r="P60" s="247"/>
      <c r="Q60" s="248"/>
      <c r="R60" s="268">
        <f>IF(AK60="","",VLOOKUP(5,$AK$56:$AU$63,5,0))</f>
        <v>7</v>
      </c>
      <c r="S60" s="268"/>
      <c r="T60" s="268"/>
      <c r="U60" s="268">
        <f>IF(AK60="","",VLOOKUP(5,$AK$56:$AU$63,6,0))</f>
        <v>3</v>
      </c>
      <c r="V60" s="268"/>
      <c r="W60" s="268"/>
      <c r="X60" s="268">
        <f>IF(AK60="","",VLOOKUP(5,$AK$56:$AU$63,7,0))</f>
        <v>0</v>
      </c>
      <c r="Y60" s="268"/>
      <c r="Z60" s="268"/>
      <c r="AA60" s="268">
        <f>IF(AK60="","",VLOOKUP(5,$AK$56:$AU$63,8,0))</f>
        <v>4</v>
      </c>
      <c r="AB60" s="268"/>
      <c r="AC60" s="268"/>
      <c r="AD60" s="219">
        <f>IF(AK60="","",VLOOKUP(5,$AK$56:$AU$63,9,0))</f>
        <v>9</v>
      </c>
      <c r="AE60" s="220">
        <f>IF(AK60="","",VLOOKUP(5,$AK$56:$AU$63,10,0))</f>
        <v>18</v>
      </c>
      <c r="AF60" s="249" t="s">
        <v>8</v>
      </c>
      <c r="AG60" s="220">
        <f>IF(AK60="","",VLOOKUP(5,$AK$56:$AU$63,11,0))</f>
        <v>24</v>
      </c>
      <c r="AH60" s="221">
        <f t="shared" si="4"/>
        <v>-6</v>
      </c>
      <c r="AI60" s="15"/>
      <c r="AJ60" s="15"/>
      <c r="AK60" s="128">
        <f t="shared" si="7"/>
        <v>2</v>
      </c>
      <c r="AL60" t="str">
        <f t="shared" si="8"/>
        <v>Sokol Zlín Prštné 1</v>
      </c>
      <c r="AM60" s="130" t="str">
        <f t="shared" si="9"/>
        <v xml:space="preserve">Hobza Robert </v>
      </c>
      <c r="AN60" t="str">
        <f t="shared" si="10"/>
        <v>Samsonek Vít</v>
      </c>
      <c r="AO60">
        <f>'Pořadí zápasů 8 Teams_Spielplan'!S10</f>
        <v>7</v>
      </c>
      <c r="AP60">
        <f>'Pořadí zápasů 8 Teams_Spielplan'!U10</f>
        <v>6</v>
      </c>
      <c r="AQ60">
        <f>'Pořadí zápasů 8 Teams_Spielplan'!V10</f>
        <v>1</v>
      </c>
      <c r="AR60">
        <f>'Pořadí zápasů 8 Teams_Spielplan'!W10</f>
        <v>0</v>
      </c>
      <c r="AS60" s="130">
        <f t="shared" si="5"/>
        <v>19</v>
      </c>
      <c r="AT60" s="131">
        <f t="shared" si="5"/>
        <v>34</v>
      </c>
      <c r="AU60" s="131">
        <f t="shared" si="6"/>
        <v>8</v>
      </c>
    </row>
    <row r="61" spans="1:47" ht="18" customHeight="1">
      <c r="A61" s="115" t="s">
        <v>13</v>
      </c>
      <c r="B61" s="116" t="str">
        <f>IF(AK61="","",VLOOKUP(6,$AK$56:$AU$63,2,0))</f>
        <v>SC Svitávka</v>
      </c>
      <c r="C61" s="132" t="str">
        <f>IF(AK61="","",VLOOKUP(6,$AK$56:$AU$63,3,0))</f>
        <v>Kučera Vít</v>
      </c>
      <c r="D61" s="134"/>
      <c r="E61" s="134"/>
      <c r="F61" s="135"/>
      <c r="G61" s="135"/>
      <c r="H61" s="135"/>
      <c r="I61" s="135"/>
      <c r="J61" s="133" t="s">
        <v>144</v>
      </c>
      <c r="K61" s="133" t="str">
        <f>IF(AK61="","",VLOOKUP(6,$AK$56:$AU$63,4,0))</f>
        <v>Cettl Jakub</v>
      </c>
      <c r="L61" s="135"/>
      <c r="M61" s="135"/>
      <c r="N61" s="135"/>
      <c r="O61" s="135"/>
      <c r="P61" s="135"/>
      <c r="Q61" s="136"/>
      <c r="R61" s="264">
        <f>IF(AK61="","",VLOOKUP(6,$AK$56:$AU$63,5,0))</f>
        <v>7</v>
      </c>
      <c r="S61" s="264"/>
      <c r="T61" s="264"/>
      <c r="U61" s="264">
        <f>IF(AK61="","",VLOOKUP(6,$AK$56:$AU$63,6,0))</f>
        <v>2</v>
      </c>
      <c r="V61" s="264"/>
      <c r="W61" s="264"/>
      <c r="X61" s="264">
        <f>IF(AK61="","",VLOOKUP(6,$AK$56:$AU$63,7,0))</f>
        <v>0</v>
      </c>
      <c r="Y61" s="264"/>
      <c r="Z61" s="264"/>
      <c r="AA61" s="264">
        <f>IF(AK61="","",VLOOKUP(6,$AK$56:$AU$63,8,0))</f>
        <v>5</v>
      </c>
      <c r="AB61" s="264"/>
      <c r="AC61" s="264"/>
      <c r="AD61" s="120">
        <f>IF(AK61="","",VLOOKUP(6,$AK$56:$AU$63,9,0))</f>
        <v>6</v>
      </c>
      <c r="AE61" s="137">
        <f>IF(AK61="","",VLOOKUP(6,$AK$56:$AU$63,10,0))</f>
        <v>9</v>
      </c>
      <c r="AF61" s="138" t="s">
        <v>8</v>
      </c>
      <c r="AG61" s="137">
        <f>IF(AK61="","",VLOOKUP(6,$AK$56:$AU$63,11,0))</f>
        <v>31</v>
      </c>
      <c r="AH61" s="121">
        <f t="shared" si="4"/>
        <v>-22</v>
      </c>
      <c r="AI61" s="15"/>
      <c r="AJ61" s="15"/>
      <c r="AK61" s="128">
        <f t="shared" si="7"/>
        <v>8</v>
      </c>
      <c r="AL61" t="str">
        <f t="shared" si="8"/>
        <v>Sokol Zlín Prštné 2</v>
      </c>
      <c r="AM61" s="130" t="str">
        <f t="shared" si="9"/>
        <v>Fuksa Karel</v>
      </c>
      <c r="AN61" t="str">
        <f t="shared" si="10"/>
        <v xml:space="preserve">Struhařová Sára </v>
      </c>
      <c r="AO61">
        <f>'Pořadí zápasů 8 Teams_Spielplan'!S11</f>
        <v>7</v>
      </c>
      <c r="AP61">
        <f>'Pořadí zápasů 8 Teams_Spielplan'!U11</f>
        <v>0</v>
      </c>
      <c r="AQ61">
        <f>'Pořadí zápasů 8 Teams_Spielplan'!V11</f>
        <v>0</v>
      </c>
      <c r="AR61">
        <f>'Pořadí zápasů 8 Teams_Spielplan'!W11</f>
        <v>7</v>
      </c>
      <c r="AS61" s="130">
        <f t="shared" si="5"/>
        <v>0</v>
      </c>
      <c r="AT61" s="131">
        <f t="shared" si="5"/>
        <v>0</v>
      </c>
      <c r="AU61" s="131">
        <f t="shared" si="6"/>
        <v>35</v>
      </c>
    </row>
    <row r="62" spans="1:47" ht="18" customHeight="1">
      <c r="A62" s="115" t="s">
        <v>16</v>
      </c>
      <c r="B62" s="116" t="str">
        <f>IF(AK62="","",VLOOKUP(7,$AK$56:$AU$63,2,0))</f>
        <v>Sokol Šitbořice 3</v>
      </c>
      <c r="C62" s="132" t="str">
        <f>IF(AK62="","",VLOOKUP(7,$AK$56:$AU$63,3,0))</f>
        <v>Klain Patrik</v>
      </c>
      <c r="D62" s="134"/>
      <c r="E62" s="134"/>
      <c r="F62" s="135"/>
      <c r="G62" s="135"/>
      <c r="H62" s="135"/>
      <c r="I62" s="135"/>
      <c r="J62" s="133" t="s">
        <v>144</v>
      </c>
      <c r="K62" s="133" t="str">
        <f>IF(AK62="","",VLOOKUP(7,$AK$56:$AU$63,4,0))</f>
        <v>Mayer Václav</v>
      </c>
      <c r="L62" s="135"/>
      <c r="M62" s="135"/>
      <c r="N62" s="135"/>
      <c r="O62" s="135"/>
      <c r="P62" s="135"/>
      <c r="Q62" s="136"/>
      <c r="R62" s="264">
        <f>IF(AK62="","",VLOOKUP(7,$AK$56:$AU$63,5,0))</f>
        <v>7</v>
      </c>
      <c r="S62" s="264"/>
      <c r="T62" s="264"/>
      <c r="U62" s="264">
        <f>IF(AK62="","",VLOOKUP(7,$AK$56:$AU$63,6,0))</f>
        <v>1</v>
      </c>
      <c r="V62" s="264"/>
      <c r="W62" s="264"/>
      <c r="X62" s="264">
        <f>IF(AK62="","",VLOOKUP(7,$AK$56:$AU$63,7,0))</f>
        <v>0</v>
      </c>
      <c r="Y62" s="264"/>
      <c r="Z62" s="264"/>
      <c r="AA62" s="264">
        <f>IF(AK62="","",VLOOKUP(7,$AK$56:$AU$63,8,0))</f>
        <v>6</v>
      </c>
      <c r="AB62" s="264"/>
      <c r="AC62" s="264"/>
      <c r="AD62" s="120">
        <f>IF(AK62="","",VLOOKUP(7,$AK$56:$AU$63,9,0))</f>
        <v>3</v>
      </c>
      <c r="AE62" s="137">
        <f>IF(AK62="","",VLOOKUP(7,$AK$56:$AU$63,10,0))</f>
        <v>6</v>
      </c>
      <c r="AF62" s="138" t="s">
        <v>8</v>
      </c>
      <c r="AG62" s="137">
        <f>IF(AK62="","",VLOOKUP(7,$AK$56:$AU$63,11,0))</f>
        <v>32</v>
      </c>
      <c r="AH62" s="121">
        <f t="shared" si="4"/>
        <v>-26</v>
      </c>
      <c r="AI62" s="15"/>
      <c r="AJ62" s="15"/>
      <c r="AK62" s="128">
        <f t="shared" si="7"/>
        <v>4</v>
      </c>
      <c r="AL62" t="str">
        <f t="shared" si="8"/>
        <v>MILO Olomouc 1</v>
      </c>
      <c r="AM62" s="130" t="str">
        <f t="shared" si="9"/>
        <v>Klesnil Lukáš</v>
      </c>
      <c r="AN62" t="str">
        <f t="shared" si="10"/>
        <v xml:space="preserve">Sedláček Jan </v>
      </c>
      <c r="AO62">
        <f>'Pořadí zápasů 8 Teams_Spielplan'!S12</f>
        <v>7</v>
      </c>
      <c r="AP62">
        <f>'Pořadí zápasů 8 Teams_Spielplan'!U12</f>
        <v>4</v>
      </c>
      <c r="AQ62">
        <f>'Pořadí zápasů 8 Teams_Spielplan'!V12</f>
        <v>0</v>
      </c>
      <c r="AR62">
        <f>'Pořadí zápasů 8 Teams_Spielplan'!W12</f>
        <v>3</v>
      </c>
      <c r="AS62" s="130">
        <f t="shared" si="5"/>
        <v>12</v>
      </c>
      <c r="AT62" s="131">
        <f t="shared" si="5"/>
        <v>29</v>
      </c>
      <c r="AU62" s="131">
        <f t="shared" si="6"/>
        <v>20</v>
      </c>
    </row>
    <row r="63" spans="1:47" ht="18" customHeight="1">
      <c r="A63" s="115" t="s">
        <v>125</v>
      </c>
      <c r="B63" s="116" t="str">
        <f>IF(AK63="","",VLOOKUP(8,$AK$56:$AU$63,2,0))</f>
        <v>Sokol Zlín Prštné 2</v>
      </c>
      <c r="C63" s="132" t="str">
        <f>IF(AK63="","",VLOOKUP(8,$AK$56:$AU$63,3,0))</f>
        <v>Fuksa Karel</v>
      </c>
      <c r="D63" s="134"/>
      <c r="E63" s="134"/>
      <c r="F63" s="135"/>
      <c r="G63" s="135"/>
      <c r="H63" s="135"/>
      <c r="I63" s="135"/>
      <c r="J63" s="133" t="s">
        <v>144</v>
      </c>
      <c r="K63" s="133" t="str">
        <f>IF(AK63="","",VLOOKUP(8,$AK$56:$AU$63,4,0))</f>
        <v xml:space="preserve">Struhařová Sára </v>
      </c>
      <c r="L63" s="135"/>
      <c r="M63" s="135"/>
      <c r="N63" s="135"/>
      <c r="O63" s="135"/>
      <c r="P63" s="135"/>
      <c r="Q63" s="136"/>
      <c r="R63" s="264">
        <f>IF(AK63="","",VLOOKUP(8,$AK$56:$AU$63,5,0))</f>
        <v>7</v>
      </c>
      <c r="S63" s="264"/>
      <c r="T63" s="264"/>
      <c r="U63" s="264">
        <f>IF(AK63="","",VLOOKUP(8,$AK$56:$AU$63,6,0))</f>
        <v>0</v>
      </c>
      <c r="V63" s="264"/>
      <c r="W63" s="264"/>
      <c r="X63" s="264">
        <f>IF(AK63="","",VLOOKUP(8,$AK$56:$AU$63,7,0))</f>
        <v>0</v>
      </c>
      <c r="Y63" s="264"/>
      <c r="Z63" s="264"/>
      <c r="AA63" s="264">
        <f>IF(AK63="","",VLOOKUP(8,$AK$56:$AU$63,8,0))</f>
        <v>7</v>
      </c>
      <c r="AB63" s="264"/>
      <c r="AC63" s="264"/>
      <c r="AD63" s="120">
        <f>IF(AK63="","",VLOOKUP(8,$AK$56:$AU$63,9,0))</f>
        <v>0</v>
      </c>
      <c r="AE63" s="137">
        <f>IF(AK63="","",VLOOKUP(8,$AK$56:$AU$63,10,0))</f>
        <v>0</v>
      </c>
      <c r="AF63" s="138" t="s">
        <v>8</v>
      </c>
      <c r="AG63" s="137">
        <f>IF(AK63="","",VLOOKUP(8,$AK$56:$AU$63,11,0))</f>
        <v>35</v>
      </c>
      <c r="AH63" s="121">
        <f>IF(AK63="","",AE63-AG63)</f>
        <v>-35</v>
      </c>
      <c r="AI63" s="15"/>
      <c r="AJ63" s="15"/>
      <c r="AK63" s="128">
        <f>AH38</f>
        <v>5</v>
      </c>
      <c r="AL63" t="str">
        <f>B19</f>
        <v>MILO Olomouc 2</v>
      </c>
      <c r="AM63" s="130" t="str">
        <f>F19</f>
        <v xml:space="preserve">Klesnil Vilém </v>
      </c>
      <c r="AN63" t="str">
        <f>W19</f>
        <v>Šimlík Bohdan</v>
      </c>
      <c r="AO63">
        <f>'Pořadí zápasů 8 Teams_Spielplan'!S13</f>
        <v>7</v>
      </c>
      <c r="AP63">
        <f>'Pořadí zápasů 8 Teams_Spielplan'!U13</f>
        <v>3</v>
      </c>
      <c r="AQ63">
        <f>'Pořadí zápasů 8 Teams_Spielplan'!V13</f>
        <v>0</v>
      </c>
      <c r="AR63">
        <f>'Pořadí zápasů 8 Teams_Spielplan'!W13</f>
        <v>4</v>
      </c>
      <c r="AS63" s="130">
        <f>AD38</f>
        <v>9</v>
      </c>
      <c r="AT63" s="131">
        <f>AE38</f>
        <v>18</v>
      </c>
      <c r="AU63" s="131">
        <f>AG38</f>
        <v>24</v>
      </c>
    </row>
  </sheetData>
  <mergeCells count="78">
    <mergeCell ref="C4:AC4"/>
    <mergeCell ref="A41:H41"/>
    <mergeCell ref="R29:T29"/>
    <mergeCell ref="U29:W29"/>
    <mergeCell ref="C29:E29"/>
    <mergeCell ref="F29:H29"/>
    <mergeCell ref="A9:H9"/>
    <mergeCell ref="B11:E11"/>
    <mergeCell ref="F11:O11"/>
    <mergeCell ref="W11:AD11"/>
    <mergeCell ref="P11:Q11"/>
    <mergeCell ref="C5:K5"/>
    <mergeCell ref="R17:V17"/>
    <mergeCell ref="R11:V11"/>
    <mergeCell ref="F7:G7"/>
    <mergeCell ref="C7:D7"/>
    <mergeCell ref="R63:T63"/>
    <mergeCell ref="U63:W63"/>
    <mergeCell ref="R56:T56"/>
    <mergeCell ref="R60:T60"/>
    <mergeCell ref="U56:W56"/>
    <mergeCell ref="R59:T59"/>
    <mergeCell ref="U58:W58"/>
    <mergeCell ref="R61:T61"/>
    <mergeCell ref="R62:T62"/>
    <mergeCell ref="U62:W62"/>
    <mergeCell ref="K6:AA6"/>
    <mergeCell ref="U57:W57"/>
    <mergeCell ref="R15:V15"/>
    <mergeCell ref="R16:V16"/>
    <mergeCell ref="AG15:AH15"/>
    <mergeCell ref="R55:T55"/>
    <mergeCell ref="R18:V18"/>
    <mergeCell ref="U55:W55"/>
    <mergeCell ref="X55:Z55"/>
    <mergeCell ref="R19:V19"/>
    <mergeCell ref="X29:Z29"/>
    <mergeCell ref="AG11:AH11"/>
    <mergeCell ref="R12:V12"/>
    <mergeCell ref="R14:V14"/>
    <mergeCell ref="R13:V13"/>
    <mergeCell ref="AG14:AH14"/>
    <mergeCell ref="AA63:AC63"/>
    <mergeCell ref="X63:Z63"/>
    <mergeCell ref="X56:Z56"/>
    <mergeCell ref="X58:Z58"/>
    <mergeCell ref="AG18:AH18"/>
    <mergeCell ref="AA62:AC62"/>
    <mergeCell ref="AA58:AC58"/>
    <mergeCell ref="AA56:AC56"/>
    <mergeCell ref="AA57:AC57"/>
    <mergeCell ref="AA60:AC60"/>
    <mergeCell ref="AA59:AC59"/>
    <mergeCell ref="X62:Z62"/>
    <mergeCell ref="AG19:AH19"/>
    <mergeCell ref="AA55:AC55"/>
    <mergeCell ref="AE11:AF11"/>
    <mergeCell ref="AG12:AH12"/>
    <mergeCell ref="AG13:AH13"/>
    <mergeCell ref="A53:H53"/>
    <mergeCell ref="X60:Z60"/>
    <mergeCell ref="U60:W60"/>
    <mergeCell ref="U59:W59"/>
    <mergeCell ref="X59:Z59"/>
    <mergeCell ref="A21:H21"/>
    <mergeCell ref="I29:K29"/>
    <mergeCell ref="L29:N29"/>
    <mergeCell ref="O29:Q29"/>
    <mergeCell ref="A28:H28"/>
    <mergeCell ref="AG16:AH16"/>
    <mergeCell ref="AG17:AH17"/>
    <mergeCell ref="AA61:AC61"/>
    <mergeCell ref="C55:Q55"/>
    <mergeCell ref="X61:Z61"/>
    <mergeCell ref="U61:W61"/>
    <mergeCell ref="R57:T57"/>
    <mergeCell ref="X57:Z57"/>
    <mergeCell ref="R58:T58"/>
  </mergeCells>
  <phoneticPr fontId="0" type="noConversion"/>
  <conditionalFormatting sqref="AH31:AH38">
    <cfRule type="duplicateValues" dxfId="1" priority="5" stopIfTrue="1"/>
  </conditionalFormatting>
  <conditionalFormatting sqref="AH38">
    <cfRule type="duplicateValues" dxfId="0" priority="1" stopIfTrue="1"/>
  </conditionalFormatting>
  <dataValidations count="3">
    <dataValidation type="list" allowBlank="1" showInputMessage="1" promptTitle="Seznam klubů:" prompt="Zadej spolek - klub rozbalovacím tlačítkem" sqref="K6:AA6">
      <formula1>$AN$8:$AN$21</formula1>
    </dataValidation>
    <dataValidation type="list" showInputMessage="1" showErrorMessage="1" promptTitle="Zadej spolek - klub tlačítkem" sqref="AB6:AC6">
      <formula1>$AN$8:$AN$21</formula1>
    </dataValidation>
    <dataValidation type="list" allowBlank="1" showInputMessage="1" promptTitle="Doba hry:" prompt="Zadej počet minut rozbalovacím tlačítkem" sqref="U7">
      <formula1>$AN$3:$AN$6</formula1>
    </dataValidation>
  </dataValidations>
  <printOptions horizontalCentered="1"/>
  <pageMargins left="0.38" right="0.27559055118110237" top="0.43307086614173229" bottom="0.55118110236220474" header="0.23622047244094491" footer="0.31496062992125984"/>
  <pageSetup paperSize="9" scale="90" orientation="portrait" horizontalDpi="4294967294" verticalDpi="300" r:id="rId1"/>
  <headerFooter alignWithMargins="0"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0"/>
  <sheetViews>
    <sheetView zoomScale="90" zoomScaleNormal="90" workbookViewId="0">
      <selection activeCell="Q11" sqref="Q11"/>
    </sheetView>
  </sheetViews>
  <sheetFormatPr defaultRowHeight="13.2"/>
  <cols>
    <col min="1" max="1" width="5.77734375" customWidth="1"/>
    <col min="2" max="2" width="3.21875" customWidth="1"/>
    <col min="3" max="3" width="23.5546875" customWidth="1"/>
    <col min="4" max="4" width="2.21875" customWidth="1"/>
    <col min="5" max="5" width="23.88671875" customWidth="1"/>
    <col min="6" max="6" width="13.33203125" customWidth="1"/>
    <col min="7" max="8" width="9.77734375" customWidth="1"/>
    <col min="9" max="9" width="4.44140625" style="117" customWidth="1"/>
    <col min="10" max="10" width="1.21875" style="117" customWidth="1"/>
    <col min="11" max="12" width="4.44140625" style="117" customWidth="1"/>
    <col min="13" max="13" width="1.21875" style="117" customWidth="1"/>
    <col min="14" max="14" width="5.109375" style="117" customWidth="1"/>
    <col min="16" max="16" width="8" customWidth="1"/>
    <col min="17" max="17" width="20.77734375" customWidth="1"/>
    <col min="18" max="18" width="3.5546875" customWidth="1"/>
    <col min="19" max="19" width="13" customWidth="1"/>
    <col min="20" max="23" width="6" hidden="1" customWidth="1"/>
    <col min="24" max="25" width="14.77734375" hidden="1" customWidth="1"/>
    <col min="26" max="27" width="13.21875" hidden="1" customWidth="1"/>
    <col min="28" max="28" width="3.21875" hidden="1" customWidth="1"/>
    <col min="29" max="48" width="9.21875" hidden="1" customWidth="1"/>
    <col min="49" max="51" width="0" hidden="1" customWidth="1"/>
  </cols>
  <sheetData>
    <row r="1" spans="1:31" ht="10.8" customHeight="1" thickBot="1">
      <c r="T1" s="174"/>
      <c r="AC1" s="42" t="s">
        <v>30</v>
      </c>
      <c r="AD1" s="42" t="s">
        <v>32</v>
      </c>
      <c r="AE1" s="42" t="s">
        <v>31</v>
      </c>
    </row>
    <row r="2" spans="1:31" s="31" customFormat="1" ht="25.95" customHeight="1" thickTop="1" thickBot="1">
      <c r="A2" s="317" t="str">
        <f>INDEX(AC6:AE6,$P$2)</f>
        <v>Pořadí zápasů - 8 družstev</v>
      </c>
      <c r="B2" s="318"/>
      <c r="C2" s="318"/>
      <c r="D2" s="318"/>
      <c r="E2" s="318"/>
      <c r="F2" s="318"/>
      <c r="G2" s="318"/>
      <c r="H2" s="318"/>
      <c r="I2" s="314" t="s">
        <v>238</v>
      </c>
      <c r="J2" s="315"/>
      <c r="K2" s="316"/>
      <c r="L2" s="314" t="s">
        <v>226</v>
      </c>
      <c r="M2" s="315"/>
      <c r="N2" s="316"/>
      <c r="P2" s="196">
        <f>'Protokol 8 Teams'!AJ4</f>
        <v>1</v>
      </c>
      <c r="Q2" s="48" t="s">
        <v>187</v>
      </c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</row>
    <row r="3" spans="1:31" s="39" customFormat="1" ht="13.5" customHeight="1" thickBot="1">
      <c r="A3" s="37"/>
      <c r="B3" s="37"/>
      <c r="C3" s="38"/>
      <c r="D3" s="38"/>
      <c r="E3" s="38"/>
      <c r="F3" s="222" t="s">
        <v>206</v>
      </c>
      <c r="G3" s="38"/>
      <c r="H3" s="38"/>
      <c r="I3" s="118"/>
      <c r="J3" s="118"/>
      <c r="K3" s="118"/>
      <c r="L3" s="118"/>
      <c r="M3" s="118"/>
      <c r="N3" s="118"/>
      <c r="AB3" s="59"/>
    </row>
    <row r="4" spans="1:31" ht="15.75" customHeight="1" thickBot="1">
      <c r="A4" s="321" t="str">
        <f>INDEX(AC7:AE7,$P$2)</f>
        <v>Č.</v>
      </c>
      <c r="B4" s="323"/>
      <c r="C4" s="325" t="str">
        <f>INDEX(AC8:AE8,$P$2)</f>
        <v>1. družstvo</v>
      </c>
      <c r="D4" s="33"/>
      <c r="E4" s="327" t="str">
        <f>INDEX(AC9:AE9,$P$2)</f>
        <v>2. družstvo</v>
      </c>
      <c r="F4" s="329" t="str">
        <f>INDEX(AC10:AE10,$P$2)</f>
        <v>Rozhodčí</v>
      </c>
      <c r="G4" s="331" t="str">
        <f>INDEX(AC11:AE11,$P$2)</f>
        <v>Branky poločasů</v>
      </c>
      <c r="H4" s="332"/>
      <c r="I4" s="333" t="str">
        <f>INDEX(AC14:AE14,$P$2)</f>
        <v>Poločas</v>
      </c>
      <c r="J4" s="334"/>
      <c r="K4" s="335"/>
      <c r="L4" s="333" t="str">
        <f>INDEX(AC15:AE15,$P$2)</f>
        <v>Výsledek</v>
      </c>
      <c r="M4" s="334"/>
      <c r="N4" s="338"/>
      <c r="P4" s="53" t="str">
        <f>INDEX(AC16:AE16,$P$2)</f>
        <v>MIMO OBLAST TISKU</v>
      </c>
      <c r="Q4" s="54"/>
      <c r="R4" s="39"/>
      <c r="S4" s="319" t="str">
        <f>INDEX(AC18:AE18,$P$2)</f>
        <v>Kontrola počtu zápasů</v>
      </c>
      <c r="T4" s="123"/>
      <c r="U4" s="123"/>
      <c r="V4" s="123"/>
      <c r="W4" s="123"/>
      <c r="AB4" s="49"/>
      <c r="AC4" s="55" t="s">
        <v>76</v>
      </c>
      <c r="AD4" s="47" t="s">
        <v>77</v>
      </c>
      <c r="AE4" s="56" t="s">
        <v>78</v>
      </c>
    </row>
    <row r="5" spans="1:31" ht="15.75" customHeight="1" thickBot="1">
      <c r="A5" s="322"/>
      <c r="B5" s="324"/>
      <c r="C5" s="326"/>
      <c r="D5" s="34"/>
      <c r="E5" s="328"/>
      <c r="F5" s="330"/>
      <c r="G5" s="35" t="str">
        <f>INDEX(AC12:AE12,$P$2)</f>
        <v>1.druž.</v>
      </c>
      <c r="H5" s="29" t="str">
        <f>INDEX(AC13:AE13,$P$2)</f>
        <v>2.druž.</v>
      </c>
      <c r="I5" s="336"/>
      <c r="J5" s="328"/>
      <c r="K5" s="337"/>
      <c r="L5" s="326"/>
      <c r="M5" s="328"/>
      <c r="N5" s="339"/>
      <c r="P5" s="25" t="str">
        <f>INDEX(AC17:AE17,$P$2)</f>
        <v>Nasazení družstev</v>
      </c>
      <c r="Q5" s="40"/>
      <c r="R5" s="39"/>
      <c r="S5" s="320"/>
      <c r="T5" s="140"/>
      <c r="U5" s="155" t="s">
        <v>145</v>
      </c>
      <c r="V5" s="155" t="s">
        <v>147</v>
      </c>
      <c r="W5" s="155" t="s">
        <v>146</v>
      </c>
      <c r="X5" s="142" t="s">
        <v>145</v>
      </c>
      <c r="Y5" s="142" t="s">
        <v>145</v>
      </c>
      <c r="Z5" s="142" t="s">
        <v>146</v>
      </c>
      <c r="AA5" s="142" t="s">
        <v>146</v>
      </c>
      <c r="AB5" s="49"/>
    </row>
    <row r="6" spans="1:31" ht="25.95" customHeight="1">
      <c r="A6" s="84" t="s">
        <v>10</v>
      </c>
      <c r="B6" s="36"/>
      <c r="C6" s="124" t="str">
        <f>Q6</f>
        <v>Sokol Šitbořice 1</v>
      </c>
      <c r="D6" s="82" t="s">
        <v>8</v>
      </c>
      <c r="E6" s="126" t="str">
        <f>Q7</f>
        <v>Sokol Šitbořice 2</v>
      </c>
      <c r="F6" s="254" t="s">
        <v>252</v>
      </c>
      <c r="G6" s="255" t="s">
        <v>19</v>
      </c>
      <c r="H6" s="255" t="s">
        <v>25</v>
      </c>
      <c r="I6" s="256"/>
      <c r="J6" s="259" t="s">
        <v>8</v>
      </c>
      <c r="K6" s="257"/>
      <c r="L6" s="256">
        <v>3</v>
      </c>
      <c r="M6" s="258" t="s">
        <v>8</v>
      </c>
      <c r="N6" s="257">
        <v>2</v>
      </c>
      <c r="O6" s="39"/>
      <c r="P6" s="32">
        <v>1</v>
      </c>
      <c r="Q6" s="119" t="s">
        <v>209</v>
      </c>
      <c r="R6" s="39"/>
      <c r="S6" s="41">
        <f>COUNTIF($C$6:$E$33,Q6)</f>
        <v>7</v>
      </c>
      <c r="T6" s="141"/>
      <c r="U6" s="156">
        <f>COUNTIFS($X$6:$Y$33,Q6)</f>
        <v>6</v>
      </c>
      <c r="V6" s="157">
        <f>S6-U6-W6</f>
        <v>1</v>
      </c>
      <c r="W6" s="156">
        <f>COUNTIFS($Z$6:$AA$33,Q6)</f>
        <v>0</v>
      </c>
      <c r="X6" s="153" t="str">
        <f>IF(L6&gt;N6,C6,"")</f>
        <v>Sokol Šitbořice 1</v>
      </c>
      <c r="Y6" s="153" t="str">
        <f>IF(L6&lt;N6,E6,"")</f>
        <v/>
      </c>
      <c r="Z6" s="154" t="str">
        <f t="shared" ref="Z6:Z26" si="0">IF(L6&lt;N6,C6,"")</f>
        <v/>
      </c>
      <c r="AA6" s="154" t="str">
        <f>IF(L6&gt;N6,E6,"")</f>
        <v>Sokol Šitbořice 2</v>
      </c>
      <c r="AB6" s="49"/>
      <c r="AC6" t="s">
        <v>178</v>
      </c>
      <c r="AD6" t="s">
        <v>179</v>
      </c>
      <c r="AE6" t="s">
        <v>180</v>
      </c>
    </row>
    <row r="7" spans="1:31" ht="25.95" customHeight="1">
      <c r="A7" s="84" t="s">
        <v>11</v>
      </c>
      <c r="B7" s="36"/>
      <c r="C7" s="125" t="str">
        <f>Q8</f>
        <v>Sokol Šitbořice 3</v>
      </c>
      <c r="D7" s="83" t="s">
        <v>8</v>
      </c>
      <c r="E7" s="127" t="str">
        <f>Q9</f>
        <v>SC Svitávka</v>
      </c>
      <c r="F7" s="254" t="s">
        <v>253</v>
      </c>
      <c r="G7" s="255" t="s">
        <v>19</v>
      </c>
      <c r="H7" s="255" t="s">
        <v>25</v>
      </c>
      <c r="I7" s="256"/>
      <c r="J7" s="259" t="s">
        <v>8</v>
      </c>
      <c r="K7" s="257"/>
      <c r="L7" s="256">
        <v>0</v>
      </c>
      <c r="M7" s="258" t="s">
        <v>8</v>
      </c>
      <c r="N7" s="257">
        <v>2</v>
      </c>
      <c r="O7" s="39"/>
      <c r="P7" s="32">
        <v>2</v>
      </c>
      <c r="Q7" s="119" t="s">
        <v>210</v>
      </c>
      <c r="R7" s="39"/>
      <c r="S7" s="41">
        <f t="shared" ref="S7:S13" si="1">COUNTIF($C$6:$E$33,Q7)</f>
        <v>7</v>
      </c>
      <c r="T7" s="141"/>
      <c r="U7" s="156">
        <f t="shared" ref="U7:U13" si="2">COUNTIFS($X$6:$Y$33,Q7)</f>
        <v>5</v>
      </c>
      <c r="V7" s="157">
        <f t="shared" ref="V7:V13" si="3">S7-U7-W7</f>
        <v>0</v>
      </c>
      <c r="W7" s="156">
        <f t="shared" ref="W7:W13" si="4">COUNTIFS($Z$6:$AA$33,Q7)</f>
        <v>2</v>
      </c>
      <c r="X7" s="153" t="str">
        <f t="shared" ref="X7:X26" si="5">IF(L7&gt;N7,C7,"")</f>
        <v/>
      </c>
      <c r="Y7" s="153" t="str">
        <f t="shared" ref="Y7:Y26" si="6">IF(L7&lt;N7,E7,"")</f>
        <v>SC Svitávka</v>
      </c>
      <c r="Z7" s="154" t="str">
        <f t="shared" si="0"/>
        <v>Sokol Šitbořice 3</v>
      </c>
      <c r="AA7" s="154" t="str">
        <f t="shared" ref="AA7:AA26" si="7">IF(L7&gt;N7,E7,"")</f>
        <v/>
      </c>
      <c r="AB7" s="49"/>
      <c r="AC7" t="s">
        <v>75</v>
      </c>
      <c r="AD7" t="s">
        <v>106</v>
      </c>
      <c r="AE7" t="s">
        <v>107</v>
      </c>
    </row>
    <row r="8" spans="1:31" ht="25.95" customHeight="1">
      <c r="A8" s="84" t="s">
        <v>15</v>
      </c>
      <c r="B8" s="36"/>
      <c r="C8" s="125" t="str">
        <f>Q10</f>
        <v>Sokol Zlín Prštné 1</v>
      </c>
      <c r="D8" s="83" t="s">
        <v>8</v>
      </c>
      <c r="E8" s="127" t="str">
        <f>Q11</f>
        <v>Sokol Zlín Prštné 2</v>
      </c>
      <c r="F8" s="254"/>
      <c r="G8" s="255" t="s">
        <v>19</v>
      </c>
      <c r="H8" s="255" t="s">
        <v>25</v>
      </c>
      <c r="I8" s="256"/>
      <c r="J8" s="259" t="s">
        <v>8</v>
      </c>
      <c r="K8" s="257"/>
      <c r="L8" s="256">
        <v>5</v>
      </c>
      <c r="M8" s="258" t="s">
        <v>8</v>
      </c>
      <c r="N8" s="257">
        <v>0</v>
      </c>
      <c r="O8" s="39"/>
      <c r="P8" s="32">
        <v>3</v>
      </c>
      <c r="Q8" s="119" t="s">
        <v>245</v>
      </c>
      <c r="R8" s="39"/>
      <c r="S8" s="41">
        <f t="shared" si="1"/>
        <v>7</v>
      </c>
      <c r="T8" s="141"/>
      <c r="U8" s="156">
        <f t="shared" si="2"/>
        <v>1</v>
      </c>
      <c r="V8" s="157">
        <f t="shared" si="3"/>
        <v>0</v>
      </c>
      <c r="W8" s="156">
        <f t="shared" si="4"/>
        <v>6</v>
      </c>
      <c r="X8" s="153" t="str">
        <f t="shared" si="5"/>
        <v>Sokol Zlín Prštné 1</v>
      </c>
      <c r="Y8" s="153" t="str">
        <f t="shared" si="6"/>
        <v/>
      </c>
      <c r="Z8" s="154" t="str">
        <f t="shared" si="0"/>
        <v/>
      </c>
      <c r="AA8" s="154" t="str">
        <f t="shared" si="7"/>
        <v>Sokol Zlín Prštné 2</v>
      </c>
      <c r="AB8" s="49"/>
      <c r="AC8" t="s">
        <v>139</v>
      </c>
      <c r="AD8" t="s">
        <v>108</v>
      </c>
      <c r="AE8" t="s">
        <v>141</v>
      </c>
    </row>
    <row r="9" spans="1:31" ht="25.95" customHeight="1">
      <c r="A9" s="84" t="s">
        <v>14</v>
      </c>
      <c r="B9" s="36"/>
      <c r="C9" s="125" t="str">
        <f>Q12</f>
        <v>MILO Olomouc 1</v>
      </c>
      <c r="D9" s="83" t="s">
        <v>8</v>
      </c>
      <c r="E9" s="127" t="str">
        <f>Q13</f>
        <v>MILO Olomouc 2</v>
      </c>
      <c r="F9" s="254" t="s">
        <v>254</v>
      </c>
      <c r="G9" s="255" t="s">
        <v>19</v>
      </c>
      <c r="H9" s="255" t="s">
        <v>25</v>
      </c>
      <c r="I9" s="256"/>
      <c r="J9" s="259" t="s">
        <v>8</v>
      </c>
      <c r="K9" s="257"/>
      <c r="L9" s="256">
        <v>5</v>
      </c>
      <c r="M9" s="258" t="s">
        <v>8</v>
      </c>
      <c r="N9" s="257">
        <v>1</v>
      </c>
      <c r="O9" s="39"/>
      <c r="P9" s="32">
        <v>4</v>
      </c>
      <c r="Q9" s="119" t="s">
        <v>217</v>
      </c>
      <c r="R9" s="39"/>
      <c r="S9" s="41">
        <f t="shared" si="1"/>
        <v>7</v>
      </c>
      <c r="T9" s="141"/>
      <c r="U9" s="156">
        <f t="shared" si="2"/>
        <v>2</v>
      </c>
      <c r="V9" s="157">
        <f t="shared" si="3"/>
        <v>0</v>
      </c>
      <c r="W9" s="156">
        <f t="shared" si="4"/>
        <v>5</v>
      </c>
      <c r="X9" s="153" t="str">
        <f t="shared" si="5"/>
        <v>MILO Olomouc 1</v>
      </c>
      <c r="Y9" s="153" t="str">
        <f t="shared" si="6"/>
        <v/>
      </c>
      <c r="Z9" s="154" t="str">
        <f t="shared" si="0"/>
        <v/>
      </c>
      <c r="AA9" s="154" t="str">
        <f t="shared" si="7"/>
        <v>MILO Olomouc 2</v>
      </c>
      <c r="AB9" s="49"/>
      <c r="AC9" t="s">
        <v>140</v>
      </c>
      <c r="AD9" t="s">
        <v>110</v>
      </c>
      <c r="AE9" t="s">
        <v>142</v>
      </c>
    </row>
    <row r="10" spans="1:31" ht="25.95" customHeight="1">
      <c r="A10" s="84" t="s">
        <v>12</v>
      </c>
      <c r="B10" s="36"/>
      <c r="C10" s="125" t="str">
        <f>Q6</f>
        <v>Sokol Šitbořice 1</v>
      </c>
      <c r="D10" s="83" t="s">
        <v>8</v>
      </c>
      <c r="E10" s="127" t="str">
        <f>Q9</f>
        <v>SC Svitávka</v>
      </c>
      <c r="F10" s="254" t="s">
        <v>253</v>
      </c>
      <c r="G10" s="255" t="s">
        <v>19</v>
      </c>
      <c r="H10" s="255" t="s">
        <v>25</v>
      </c>
      <c r="I10" s="256"/>
      <c r="J10" s="259" t="s">
        <v>8</v>
      </c>
      <c r="K10" s="257"/>
      <c r="L10" s="256">
        <v>7</v>
      </c>
      <c r="M10" s="258" t="s">
        <v>8</v>
      </c>
      <c r="N10" s="257">
        <v>0</v>
      </c>
      <c r="O10" s="39"/>
      <c r="P10" s="32">
        <v>5</v>
      </c>
      <c r="Q10" s="119" t="s">
        <v>214</v>
      </c>
      <c r="R10" s="39"/>
      <c r="S10" s="41">
        <f t="shared" si="1"/>
        <v>7</v>
      </c>
      <c r="T10" s="141"/>
      <c r="U10" s="156">
        <f t="shared" si="2"/>
        <v>6</v>
      </c>
      <c r="V10" s="157">
        <f t="shared" si="3"/>
        <v>1</v>
      </c>
      <c r="W10" s="156">
        <f t="shared" si="4"/>
        <v>0</v>
      </c>
      <c r="X10" s="153" t="str">
        <f t="shared" si="5"/>
        <v>Sokol Šitbořice 1</v>
      </c>
      <c r="Y10" s="153" t="str">
        <f t="shared" si="6"/>
        <v/>
      </c>
      <c r="Z10" s="154" t="str">
        <f t="shared" si="0"/>
        <v/>
      </c>
      <c r="AA10" s="154" t="str">
        <f t="shared" si="7"/>
        <v>SC Svitávka</v>
      </c>
      <c r="AB10" s="49"/>
      <c r="AC10" t="s">
        <v>3</v>
      </c>
      <c r="AD10" s="57" t="s">
        <v>52</v>
      </c>
      <c r="AE10" s="57" t="s">
        <v>112</v>
      </c>
    </row>
    <row r="11" spans="1:31" ht="25.95" customHeight="1">
      <c r="A11" s="84" t="s">
        <v>13</v>
      </c>
      <c r="B11" s="36"/>
      <c r="C11" s="125" t="str">
        <f>Q7</f>
        <v>Sokol Šitbořice 2</v>
      </c>
      <c r="D11" s="83" t="s">
        <v>8</v>
      </c>
      <c r="E11" s="127" t="str">
        <f>Q10</f>
        <v>Sokol Zlín Prštné 1</v>
      </c>
      <c r="F11" s="254" t="s">
        <v>252</v>
      </c>
      <c r="G11" s="255" t="s">
        <v>19</v>
      </c>
      <c r="H11" s="255" t="s">
        <v>25</v>
      </c>
      <c r="I11" s="256">
        <v>0</v>
      </c>
      <c r="J11" s="259" t="s">
        <v>8</v>
      </c>
      <c r="K11" s="257">
        <v>2</v>
      </c>
      <c r="L11" s="256">
        <v>1</v>
      </c>
      <c r="M11" s="258" t="s">
        <v>8</v>
      </c>
      <c r="N11" s="257">
        <v>2</v>
      </c>
      <c r="O11" s="39"/>
      <c r="P11" s="32">
        <v>6</v>
      </c>
      <c r="Q11" s="119" t="s">
        <v>216</v>
      </c>
      <c r="R11" s="39"/>
      <c r="S11" s="41">
        <f t="shared" si="1"/>
        <v>7</v>
      </c>
      <c r="T11" s="141"/>
      <c r="U11" s="156">
        <f t="shared" si="2"/>
        <v>0</v>
      </c>
      <c r="V11" s="157">
        <f t="shared" si="3"/>
        <v>0</v>
      </c>
      <c r="W11" s="156">
        <f t="shared" si="4"/>
        <v>7</v>
      </c>
      <c r="X11" s="153" t="str">
        <f t="shared" si="5"/>
        <v/>
      </c>
      <c r="Y11" s="153" t="str">
        <f t="shared" si="6"/>
        <v>Sokol Zlín Prštné 1</v>
      </c>
      <c r="Z11" s="154" t="str">
        <f t="shared" si="0"/>
        <v>Sokol Šitbořice 2</v>
      </c>
      <c r="AA11" s="154" t="str">
        <f t="shared" si="7"/>
        <v/>
      </c>
      <c r="AB11" s="49"/>
      <c r="AC11" t="s">
        <v>22</v>
      </c>
      <c r="AD11" t="s">
        <v>113</v>
      </c>
      <c r="AE11" t="s">
        <v>114</v>
      </c>
    </row>
    <row r="12" spans="1:31" ht="25.95" customHeight="1">
      <c r="A12" s="84" t="s">
        <v>16</v>
      </c>
      <c r="B12" s="36"/>
      <c r="C12" s="125" t="str">
        <f>Q8</f>
        <v>Sokol Šitbořice 3</v>
      </c>
      <c r="D12" s="83" t="s">
        <v>8</v>
      </c>
      <c r="E12" s="127" t="str">
        <f>Q11</f>
        <v>Sokol Zlín Prštné 2</v>
      </c>
      <c r="F12" s="254"/>
      <c r="G12" s="255" t="s">
        <v>19</v>
      </c>
      <c r="H12" s="255" t="s">
        <v>25</v>
      </c>
      <c r="I12" s="256"/>
      <c r="J12" s="259" t="s">
        <v>8</v>
      </c>
      <c r="K12" s="257"/>
      <c r="L12" s="256">
        <v>5</v>
      </c>
      <c r="M12" s="258" t="s">
        <v>8</v>
      </c>
      <c r="N12" s="257">
        <v>0</v>
      </c>
      <c r="O12" s="39"/>
      <c r="P12" s="32">
        <v>7</v>
      </c>
      <c r="Q12" s="119" t="s">
        <v>215</v>
      </c>
      <c r="R12" s="39"/>
      <c r="S12" s="41">
        <f t="shared" si="1"/>
        <v>7</v>
      </c>
      <c r="T12" s="141"/>
      <c r="U12" s="156">
        <f t="shared" si="2"/>
        <v>4</v>
      </c>
      <c r="V12" s="157">
        <f t="shared" si="3"/>
        <v>0</v>
      </c>
      <c r="W12" s="156">
        <f t="shared" si="4"/>
        <v>3</v>
      </c>
      <c r="X12" s="153" t="str">
        <f t="shared" si="5"/>
        <v>Sokol Šitbořice 3</v>
      </c>
      <c r="Y12" s="153" t="str">
        <f t="shared" si="6"/>
        <v/>
      </c>
      <c r="Z12" s="154" t="str">
        <f t="shared" si="0"/>
        <v/>
      </c>
      <c r="AA12" s="154" t="str">
        <f t="shared" si="7"/>
        <v>Sokol Zlín Prštné 2</v>
      </c>
      <c r="AB12" s="49"/>
      <c r="AC12" t="s">
        <v>23</v>
      </c>
      <c r="AD12" t="s">
        <v>115</v>
      </c>
      <c r="AE12" t="s">
        <v>109</v>
      </c>
    </row>
    <row r="13" spans="1:31" ht="25.95" customHeight="1">
      <c r="A13" s="84" t="s">
        <v>125</v>
      </c>
      <c r="B13" s="36"/>
      <c r="C13" s="125" t="str">
        <f>Q6</f>
        <v>Sokol Šitbořice 1</v>
      </c>
      <c r="D13" s="83" t="s">
        <v>8</v>
      </c>
      <c r="E13" s="127" t="str">
        <f>Q12</f>
        <v>MILO Olomouc 1</v>
      </c>
      <c r="F13" s="254" t="s">
        <v>253</v>
      </c>
      <c r="G13" s="255" t="s">
        <v>19</v>
      </c>
      <c r="H13" s="255" t="s">
        <v>25</v>
      </c>
      <c r="I13" s="256">
        <v>4</v>
      </c>
      <c r="J13" s="259" t="s">
        <v>8</v>
      </c>
      <c r="K13" s="257">
        <v>1</v>
      </c>
      <c r="L13" s="256">
        <v>9</v>
      </c>
      <c r="M13" s="258" t="s">
        <v>8</v>
      </c>
      <c r="N13" s="257">
        <v>2</v>
      </c>
      <c r="O13" s="39"/>
      <c r="P13" s="32">
        <v>8</v>
      </c>
      <c r="Q13" s="119" t="s">
        <v>218</v>
      </c>
      <c r="R13" s="39"/>
      <c r="S13" s="41">
        <f t="shared" si="1"/>
        <v>7</v>
      </c>
      <c r="U13" s="156">
        <f t="shared" si="2"/>
        <v>3</v>
      </c>
      <c r="V13" s="157">
        <f t="shared" si="3"/>
        <v>0</v>
      </c>
      <c r="W13" s="156">
        <f t="shared" si="4"/>
        <v>4</v>
      </c>
      <c r="X13" s="153" t="str">
        <f t="shared" si="5"/>
        <v>Sokol Šitbořice 1</v>
      </c>
      <c r="Y13" s="153" t="str">
        <f t="shared" si="6"/>
        <v/>
      </c>
      <c r="Z13" s="154" t="str">
        <f t="shared" si="0"/>
        <v/>
      </c>
      <c r="AA13" s="154" t="str">
        <f t="shared" si="7"/>
        <v>MILO Olomouc 1</v>
      </c>
      <c r="AB13" s="49"/>
      <c r="AC13" t="s">
        <v>24</v>
      </c>
      <c r="AD13" t="s">
        <v>116</v>
      </c>
      <c r="AE13" t="s">
        <v>111</v>
      </c>
    </row>
    <row r="14" spans="1:31" ht="25.95" customHeight="1">
      <c r="A14" s="84" t="s">
        <v>126</v>
      </c>
      <c r="B14" s="36"/>
      <c r="C14" s="125" t="str">
        <f>Q10</f>
        <v>Sokol Zlín Prštné 1</v>
      </c>
      <c r="D14" s="83" t="s">
        <v>8</v>
      </c>
      <c r="E14" s="127" t="str">
        <f>Q13</f>
        <v>MILO Olomouc 2</v>
      </c>
      <c r="F14" s="254" t="s">
        <v>254</v>
      </c>
      <c r="G14" s="255" t="s">
        <v>19</v>
      </c>
      <c r="H14" s="255" t="s">
        <v>25</v>
      </c>
      <c r="I14" s="256">
        <v>2</v>
      </c>
      <c r="J14" s="259" t="s">
        <v>8</v>
      </c>
      <c r="K14" s="257">
        <v>2</v>
      </c>
      <c r="L14" s="256">
        <v>5</v>
      </c>
      <c r="M14" s="258" t="s">
        <v>8</v>
      </c>
      <c r="N14" s="257">
        <v>3</v>
      </c>
      <c r="O14" s="39"/>
      <c r="X14" s="153" t="str">
        <f t="shared" si="5"/>
        <v>Sokol Zlín Prštné 1</v>
      </c>
      <c r="Y14" s="153" t="str">
        <f t="shared" si="6"/>
        <v/>
      </c>
      <c r="Z14" s="154" t="str">
        <f t="shared" si="0"/>
        <v/>
      </c>
      <c r="AA14" s="154" t="str">
        <f t="shared" si="7"/>
        <v>MILO Olomouc 2</v>
      </c>
      <c r="AB14" s="49"/>
      <c r="AC14" s="56" t="s">
        <v>17</v>
      </c>
      <c r="AD14" s="56" t="s">
        <v>117</v>
      </c>
      <c r="AE14" t="s">
        <v>118</v>
      </c>
    </row>
    <row r="15" spans="1:31" ht="25.95" customHeight="1">
      <c r="A15" s="84" t="s">
        <v>127</v>
      </c>
      <c r="B15" s="36"/>
      <c r="C15" s="125" t="str">
        <f>Q9</f>
        <v>SC Svitávka</v>
      </c>
      <c r="D15" s="83" t="s">
        <v>8</v>
      </c>
      <c r="E15" s="127" t="str">
        <f>Q11</f>
        <v>Sokol Zlín Prštné 2</v>
      </c>
      <c r="F15" s="254"/>
      <c r="G15" s="255" t="s">
        <v>19</v>
      </c>
      <c r="H15" s="255" t="s">
        <v>25</v>
      </c>
      <c r="I15" s="256"/>
      <c r="J15" s="259" t="s">
        <v>8</v>
      </c>
      <c r="K15" s="257"/>
      <c r="L15" s="256">
        <v>5</v>
      </c>
      <c r="M15" s="258" t="s">
        <v>8</v>
      </c>
      <c r="N15" s="257">
        <v>0</v>
      </c>
      <c r="O15" s="39"/>
      <c r="P15" s="181"/>
      <c r="Q15" s="228" t="s">
        <v>215</v>
      </c>
      <c r="R15" s="236" t="s">
        <v>219</v>
      </c>
      <c r="X15" s="153" t="str">
        <f t="shared" si="5"/>
        <v>SC Svitávka</v>
      </c>
      <c r="Y15" s="153" t="str">
        <f t="shared" si="6"/>
        <v/>
      </c>
      <c r="Z15" s="154" t="str">
        <f t="shared" si="0"/>
        <v/>
      </c>
      <c r="AA15" s="154" t="str">
        <f t="shared" si="7"/>
        <v>Sokol Zlín Prštné 2</v>
      </c>
      <c r="AB15" s="49"/>
      <c r="AC15" s="56" t="s">
        <v>18</v>
      </c>
      <c r="AD15" s="57" t="s">
        <v>37</v>
      </c>
      <c r="AE15" s="57" t="s">
        <v>90</v>
      </c>
    </row>
    <row r="16" spans="1:31" ht="25.95" customHeight="1">
      <c r="A16" s="84" t="s">
        <v>128</v>
      </c>
      <c r="B16" s="36"/>
      <c r="C16" s="125" t="str">
        <f>Q7</f>
        <v>Sokol Šitbořice 2</v>
      </c>
      <c r="D16" s="83" t="s">
        <v>8</v>
      </c>
      <c r="E16" s="127" t="str">
        <f>Q8</f>
        <v>Sokol Šitbořice 3</v>
      </c>
      <c r="F16" s="254" t="s">
        <v>252</v>
      </c>
      <c r="G16" s="255" t="s">
        <v>19</v>
      </c>
      <c r="H16" s="255" t="s">
        <v>25</v>
      </c>
      <c r="I16" s="256">
        <v>0</v>
      </c>
      <c r="J16" s="259" t="s">
        <v>8</v>
      </c>
      <c r="K16" s="257">
        <v>0</v>
      </c>
      <c r="L16" s="256">
        <v>2</v>
      </c>
      <c r="M16" s="258" t="s">
        <v>8</v>
      </c>
      <c r="N16" s="257">
        <v>0</v>
      </c>
      <c r="O16" s="39"/>
      <c r="P16" s="181"/>
      <c r="Q16" s="228" t="s">
        <v>214</v>
      </c>
      <c r="R16" s="236" t="s">
        <v>220</v>
      </c>
      <c r="X16" s="153" t="str">
        <f t="shared" si="5"/>
        <v>Sokol Šitbořice 2</v>
      </c>
      <c r="Y16" s="153" t="str">
        <f t="shared" si="6"/>
        <v/>
      </c>
      <c r="Z16" s="154" t="str">
        <f t="shared" si="0"/>
        <v/>
      </c>
      <c r="AA16" s="154" t="str">
        <f t="shared" si="7"/>
        <v>Sokol Šitbořice 3</v>
      </c>
      <c r="AB16" s="49"/>
      <c r="AC16" s="56" t="s">
        <v>28</v>
      </c>
      <c r="AD16" s="56" t="s">
        <v>119</v>
      </c>
      <c r="AE16" s="56" t="s">
        <v>120</v>
      </c>
    </row>
    <row r="17" spans="1:31" ht="25.95" customHeight="1">
      <c r="A17" s="84" t="s">
        <v>129</v>
      </c>
      <c r="B17" s="36"/>
      <c r="C17" s="125" t="str">
        <f>Q10</f>
        <v>Sokol Zlín Prštné 1</v>
      </c>
      <c r="D17" s="83" t="s">
        <v>8</v>
      </c>
      <c r="E17" s="127" t="str">
        <f>Q12</f>
        <v>MILO Olomouc 1</v>
      </c>
      <c r="F17" s="254" t="s">
        <v>254</v>
      </c>
      <c r="G17" s="255" t="s">
        <v>19</v>
      </c>
      <c r="H17" s="255" t="s">
        <v>25</v>
      </c>
      <c r="I17" s="256">
        <v>2</v>
      </c>
      <c r="J17" s="259" t="s">
        <v>8</v>
      </c>
      <c r="K17" s="257">
        <v>1</v>
      </c>
      <c r="L17" s="256">
        <v>4</v>
      </c>
      <c r="M17" s="258" t="s">
        <v>8</v>
      </c>
      <c r="N17" s="257">
        <v>2</v>
      </c>
      <c r="O17" s="39"/>
      <c r="P17" s="181"/>
      <c r="Q17" s="228" t="s">
        <v>209</v>
      </c>
      <c r="R17" s="236" t="s">
        <v>221</v>
      </c>
      <c r="X17" s="153" t="str">
        <f t="shared" si="5"/>
        <v>Sokol Zlín Prštné 1</v>
      </c>
      <c r="Y17" s="153" t="str">
        <f t="shared" si="6"/>
        <v/>
      </c>
      <c r="Z17" s="154" t="str">
        <f t="shared" si="0"/>
        <v/>
      </c>
      <c r="AA17" s="154" t="str">
        <f t="shared" si="7"/>
        <v>MILO Olomouc 1</v>
      </c>
      <c r="AB17" s="49"/>
      <c r="AC17" s="56" t="s">
        <v>26</v>
      </c>
      <c r="AD17" s="56" t="s">
        <v>121</v>
      </c>
      <c r="AE17" s="56" t="s">
        <v>122</v>
      </c>
    </row>
    <row r="18" spans="1:31" ht="25.95" customHeight="1">
      <c r="A18" s="84" t="s">
        <v>130</v>
      </c>
      <c r="B18" s="36"/>
      <c r="C18" s="125" t="str">
        <f>Q6</f>
        <v>Sokol Šitbořice 1</v>
      </c>
      <c r="D18" s="83" t="s">
        <v>8</v>
      </c>
      <c r="E18" s="127" t="str">
        <f>Q13</f>
        <v>MILO Olomouc 2</v>
      </c>
      <c r="F18" s="254" t="s">
        <v>253</v>
      </c>
      <c r="G18" s="255" t="s">
        <v>19</v>
      </c>
      <c r="H18" s="255" t="s">
        <v>25</v>
      </c>
      <c r="I18" s="256">
        <v>4</v>
      </c>
      <c r="J18" s="259" t="s">
        <v>8</v>
      </c>
      <c r="K18" s="257">
        <v>1</v>
      </c>
      <c r="L18" s="256">
        <v>5</v>
      </c>
      <c r="M18" s="258" t="s">
        <v>8</v>
      </c>
      <c r="N18" s="257">
        <v>1</v>
      </c>
      <c r="O18" s="39"/>
      <c r="P18" s="223"/>
      <c r="Q18" s="228" t="s">
        <v>218</v>
      </c>
      <c r="R18" s="236" t="s">
        <v>222</v>
      </c>
      <c r="X18" s="153" t="str">
        <f t="shared" si="5"/>
        <v>Sokol Šitbořice 1</v>
      </c>
      <c r="Y18" s="153" t="str">
        <f t="shared" si="6"/>
        <v/>
      </c>
      <c r="Z18" s="154" t="str">
        <f t="shared" si="0"/>
        <v/>
      </c>
      <c r="AA18" s="154" t="str">
        <f t="shared" si="7"/>
        <v>MILO Olomouc 2</v>
      </c>
      <c r="AB18" s="49"/>
      <c r="AC18" s="56" t="s">
        <v>29</v>
      </c>
      <c r="AD18" s="56" t="s">
        <v>123</v>
      </c>
      <c r="AE18" s="56" t="s">
        <v>124</v>
      </c>
    </row>
    <row r="19" spans="1:31" ht="25.95" customHeight="1">
      <c r="A19" s="84" t="s">
        <v>131</v>
      </c>
      <c r="B19" s="36"/>
      <c r="C19" s="125" t="str">
        <f>Q7</f>
        <v>Sokol Šitbořice 2</v>
      </c>
      <c r="D19" s="83" t="s">
        <v>8</v>
      </c>
      <c r="E19" s="127" t="str">
        <f>Q11</f>
        <v>Sokol Zlín Prštné 2</v>
      </c>
      <c r="F19" s="254"/>
      <c r="G19" s="255" t="s">
        <v>19</v>
      </c>
      <c r="H19" s="255" t="s">
        <v>25</v>
      </c>
      <c r="I19" s="256"/>
      <c r="J19" s="259" t="s">
        <v>8</v>
      </c>
      <c r="K19" s="257"/>
      <c r="L19" s="256">
        <v>5</v>
      </c>
      <c r="M19" s="258" t="s">
        <v>8</v>
      </c>
      <c r="N19" s="257">
        <v>0</v>
      </c>
      <c r="O19" s="39"/>
      <c r="P19" s="181"/>
      <c r="Q19" s="228" t="s">
        <v>216</v>
      </c>
      <c r="R19" s="236" t="s">
        <v>223</v>
      </c>
      <c r="X19" s="153" t="str">
        <f t="shared" si="5"/>
        <v>Sokol Šitbořice 2</v>
      </c>
      <c r="Y19" s="153" t="str">
        <f t="shared" si="6"/>
        <v/>
      </c>
      <c r="Z19" s="154" t="str">
        <f t="shared" si="0"/>
        <v/>
      </c>
      <c r="AA19" s="154" t="str">
        <f t="shared" si="7"/>
        <v>Sokol Zlín Prštné 2</v>
      </c>
    </row>
    <row r="20" spans="1:31" ht="25.95" customHeight="1">
      <c r="A20" s="84" t="s">
        <v>132</v>
      </c>
      <c r="B20" s="36"/>
      <c r="C20" s="125" t="str">
        <f>Q9</f>
        <v>SC Svitávka</v>
      </c>
      <c r="D20" s="83" t="s">
        <v>8</v>
      </c>
      <c r="E20" s="127" t="str">
        <f>Q12</f>
        <v>MILO Olomouc 1</v>
      </c>
      <c r="F20" s="254" t="s">
        <v>254</v>
      </c>
      <c r="G20" s="255" t="s">
        <v>19</v>
      </c>
      <c r="H20" s="255" t="s">
        <v>25</v>
      </c>
      <c r="I20" s="256">
        <v>0</v>
      </c>
      <c r="J20" s="259" t="s">
        <v>8</v>
      </c>
      <c r="K20" s="257">
        <v>5</v>
      </c>
      <c r="L20" s="256">
        <v>1</v>
      </c>
      <c r="M20" s="258" t="s">
        <v>8</v>
      </c>
      <c r="N20" s="257">
        <v>7</v>
      </c>
      <c r="O20" s="39"/>
      <c r="Q20" s="228" t="s">
        <v>210</v>
      </c>
      <c r="R20" s="236" t="s">
        <v>224</v>
      </c>
      <c r="X20" s="153" t="str">
        <f t="shared" si="5"/>
        <v/>
      </c>
      <c r="Y20" s="153" t="str">
        <f t="shared" si="6"/>
        <v>MILO Olomouc 1</v>
      </c>
      <c r="Z20" s="154" t="str">
        <f t="shared" si="0"/>
        <v>SC Svitávka</v>
      </c>
      <c r="AA20" s="154" t="str">
        <f t="shared" si="7"/>
        <v/>
      </c>
    </row>
    <row r="21" spans="1:31" ht="25.95" customHeight="1">
      <c r="A21" s="84" t="s">
        <v>133</v>
      </c>
      <c r="B21" s="36"/>
      <c r="C21" s="125" t="str">
        <f>Q8</f>
        <v>Sokol Šitbořice 3</v>
      </c>
      <c r="D21" s="83" t="s">
        <v>8</v>
      </c>
      <c r="E21" s="127" t="str">
        <f>Q10</f>
        <v>Sokol Zlín Prštné 1</v>
      </c>
      <c r="F21" s="254" t="s">
        <v>252</v>
      </c>
      <c r="G21" s="255" t="s">
        <v>19</v>
      </c>
      <c r="H21" s="255" t="s">
        <v>25</v>
      </c>
      <c r="I21" s="256">
        <v>0</v>
      </c>
      <c r="J21" s="259" t="s">
        <v>8</v>
      </c>
      <c r="K21" s="257">
        <v>4</v>
      </c>
      <c r="L21" s="256">
        <v>0</v>
      </c>
      <c r="M21" s="258" t="s">
        <v>8</v>
      </c>
      <c r="N21" s="257">
        <v>9</v>
      </c>
      <c r="O21" s="39"/>
      <c r="Q21" s="228" t="s">
        <v>217</v>
      </c>
      <c r="R21" s="236" t="s">
        <v>225</v>
      </c>
      <c r="X21" s="153" t="str">
        <f t="shared" si="5"/>
        <v/>
      </c>
      <c r="Y21" s="153" t="str">
        <f t="shared" si="6"/>
        <v>Sokol Zlín Prštné 1</v>
      </c>
      <c r="Z21" s="154" t="str">
        <f t="shared" si="0"/>
        <v>Sokol Šitbořice 3</v>
      </c>
      <c r="AA21" s="154" t="str">
        <f t="shared" si="7"/>
        <v/>
      </c>
    </row>
    <row r="22" spans="1:31" ht="25.95" customHeight="1">
      <c r="A22" s="84" t="s">
        <v>134</v>
      </c>
      <c r="B22" s="36"/>
      <c r="C22" s="125" t="str">
        <f>Q6</f>
        <v>Sokol Šitbořice 1</v>
      </c>
      <c r="D22" s="83" t="s">
        <v>8</v>
      </c>
      <c r="E22" s="127" t="str">
        <f>Q11</f>
        <v>Sokol Zlín Prštné 2</v>
      </c>
      <c r="F22" s="254"/>
      <c r="G22" s="255" t="s">
        <v>19</v>
      </c>
      <c r="H22" s="255" t="s">
        <v>25</v>
      </c>
      <c r="I22" s="256"/>
      <c r="J22" s="259" t="s">
        <v>8</v>
      </c>
      <c r="K22" s="257"/>
      <c r="L22" s="256">
        <v>5</v>
      </c>
      <c r="M22" s="258" t="s">
        <v>8</v>
      </c>
      <c r="N22" s="257">
        <v>0</v>
      </c>
      <c r="O22" s="39"/>
      <c r="Q22" s="228" t="s">
        <v>245</v>
      </c>
      <c r="R22" t="s">
        <v>239</v>
      </c>
      <c r="X22" s="153" t="str">
        <f t="shared" si="5"/>
        <v>Sokol Šitbořice 1</v>
      </c>
      <c r="Y22" s="153" t="str">
        <f t="shared" si="6"/>
        <v/>
      </c>
      <c r="Z22" s="154" t="str">
        <f t="shared" si="0"/>
        <v/>
      </c>
      <c r="AA22" s="154" t="str">
        <f t="shared" si="7"/>
        <v>Sokol Zlín Prštné 2</v>
      </c>
    </row>
    <row r="23" spans="1:31" ht="25.95" customHeight="1">
      <c r="A23" s="84" t="s">
        <v>135</v>
      </c>
      <c r="B23" s="36"/>
      <c r="C23" s="125" t="str">
        <f>Q7</f>
        <v>Sokol Šitbořice 2</v>
      </c>
      <c r="D23" s="83" t="s">
        <v>8</v>
      </c>
      <c r="E23" s="127" t="str">
        <f>Q13</f>
        <v>MILO Olomouc 2</v>
      </c>
      <c r="F23" s="254" t="s">
        <v>253</v>
      </c>
      <c r="G23" s="255" t="s">
        <v>19</v>
      </c>
      <c r="H23" s="255" t="s">
        <v>25</v>
      </c>
      <c r="I23" s="256">
        <v>3</v>
      </c>
      <c r="J23" s="259" t="s">
        <v>8</v>
      </c>
      <c r="K23" s="257">
        <v>0</v>
      </c>
      <c r="L23" s="256">
        <v>8</v>
      </c>
      <c r="M23" s="258" t="s">
        <v>8</v>
      </c>
      <c r="N23" s="257">
        <v>0</v>
      </c>
      <c r="O23" s="39"/>
      <c r="S23" s="229"/>
      <c r="X23" s="153" t="str">
        <f t="shared" si="5"/>
        <v>Sokol Šitbořice 2</v>
      </c>
      <c r="Y23" s="153" t="str">
        <f t="shared" si="6"/>
        <v/>
      </c>
      <c r="Z23" s="154" t="str">
        <f t="shared" si="0"/>
        <v/>
      </c>
      <c r="AA23" s="154" t="str">
        <f t="shared" si="7"/>
        <v>MILO Olomouc 2</v>
      </c>
    </row>
    <row r="24" spans="1:31" ht="25.95" customHeight="1">
      <c r="A24" s="84" t="s">
        <v>136</v>
      </c>
      <c r="B24" s="36"/>
      <c r="C24" s="125" t="str">
        <f>Q8</f>
        <v>Sokol Šitbořice 3</v>
      </c>
      <c r="D24" s="83" t="s">
        <v>8</v>
      </c>
      <c r="E24" s="127" t="str">
        <f>Q12</f>
        <v>MILO Olomouc 1</v>
      </c>
      <c r="F24" s="254" t="s">
        <v>253</v>
      </c>
      <c r="G24" s="255" t="s">
        <v>19</v>
      </c>
      <c r="H24" s="255" t="s">
        <v>25</v>
      </c>
      <c r="I24" s="256">
        <v>0</v>
      </c>
      <c r="J24" s="259" t="s">
        <v>8</v>
      </c>
      <c r="K24" s="257">
        <v>4</v>
      </c>
      <c r="L24" s="256">
        <v>1</v>
      </c>
      <c r="M24" s="258" t="s">
        <v>8</v>
      </c>
      <c r="N24" s="257">
        <v>7</v>
      </c>
      <c r="O24" s="39"/>
      <c r="Q24" s="228"/>
      <c r="X24" s="153" t="str">
        <f t="shared" si="5"/>
        <v/>
      </c>
      <c r="Y24" s="153" t="str">
        <f t="shared" si="6"/>
        <v>MILO Olomouc 1</v>
      </c>
      <c r="Z24" s="154" t="str">
        <f t="shared" si="0"/>
        <v>Sokol Šitbořice 3</v>
      </c>
      <c r="AA24" s="154" t="str">
        <f t="shared" si="7"/>
        <v/>
      </c>
    </row>
    <row r="25" spans="1:31" ht="25.95" customHeight="1">
      <c r="A25" s="84" t="s">
        <v>137</v>
      </c>
      <c r="B25" s="36"/>
      <c r="C25" s="125" t="str">
        <f>Q9</f>
        <v>SC Svitávka</v>
      </c>
      <c r="D25" s="83" t="s">
        <v>8</v>
      </c>
      <c r="E25" s="127" t="str">
        <f>Q10</f>
        <v>Sokol Zlín Prštné 1</v>
      </c>
      <c r="F25" s="254" t="s">
        <v>254</v>
      </c>
      <c r="G25" s="255" t="s">
        <v>19</v>
      </c>
      <c r="H25" s="255" t="s">
        <v>25</v>
      </c>
      <c r="I25" s="256">
        <v>0</v>
      </c>
      <c r="J25" s="259">
        <v>0</v>
      </c>
      <c r="K25" s="257">
        <v>4</v>
      </c>
      <c r="L25" s="256">
        <v>0</v>
      </c>
      <c r="M25" s="258" t="s">
        <v>8</v>
      </c>
      <c r="N25" s="257">
        <v>7</v>
      </c>
      <c r="O25" s="39"/>
      <c r="X25" s="153" t="str">
        <f t="shared" si="5"/>
        <v/>
      </c>
      <c r="Y25" s="153" t="str">
        <f t="shared" si="6"/>
        <v>Sokol Zlín Prštné 1</v>
      </c>
      <c r="Z25" s="154" t="str">
        <f t="shared" si="0"/>
        <v>SC Svitávka</v>
      </c>
      <c r="AA25" s="154" t="str">
        <f t="shared" si="7"/>
        <v/>
      </c>
    </row>
    <row r="26" spans="1:31" ht="25.95" customHeight="1">
      <c r="A26" s="84" t="s">
        <v>138</v>
      </c>
      <c r="B26" s="36"/>
      <c r="C26" s="125" t="str">
        <f>Q11</f>
        <v>Sokol Zlín Prštné 2</v>
      </c>
      <c r="D26" s="83" t="s">
        <v>8</v>
      </c>
      <c r="E26" s="127" t="str">
        <f>Q13</f>
        <v>MILO Olomouc 2</v>
      </c>
      <c r="F26" s="254"/>
      <c r="G26" s="255" t="s">
        <v>19</v>
      </c>
      <c r="H26" s="255" t="s">
        <v>25</v>
      </c>
      <c r="I26" s="256"/>
      <c r="J26" s="259" t="s">
        <v>8</v>
      </c>
      <c r="K26" s="257"/>
      <c r="L26" s="256">
        <v>0</v>
      </c>
      <c r="M26" s="258" t="s">
        <v>8</v>
      </c>
      <c r="N26" s="257">
        <v>5</v>
      </c>
      <c r="O26" s="39"/>
      <c r="X26" s="153" t="str">
        <f t="shared" si="5"/>
        <v/>
      </c>
      <c r="Y26" s="153" t="str">
        <f t="shared" si="6"/>
        <v>MILO Olomouc 2</v>
      </c>
      <c r="Z26" s="154" t="str">
        <f t="shared" si="0"/>
        <v>Sokol Zlín Prštné 2</v>
      </c>
      <c r="AA26" s="154" t="str">
        <f t="shared" si="7"/>
        <v/>
      </c>
    </row>
    <row r="27" spans="1:31" ht="25.95" customHeight="1">
      <c r="A27" s="84" t="s">
        <v>171</v>
      </c>
      <c r="B27" s="36"/>
      <c r="C27" s="125" t="str">
        <f>Q6</f>
        <v>Sokol Šitbořice 1</v>
      </c>
      <c r="D27" s="83" t="s">
        <v>8</v>
      </c>
      <c r="E27" s="127" t="str">
        <f>Q8</f>
        <v>Sokol Šitbořice 3</v>
      </c>
      <c r="F27" s="254" t="s">
        <v>252</v>
      </c>
      <c r="G27" s="255" t="s">
        <v>19</v>
      </c>
      <c r="H27" s="255" t="s">
        <v>25</v>
      </c>
      <c r="I27" s="256">
        <v>4</v>
      </c>
      <c r="J27" s="259" t="s">
        <v>8</v>
      </c>
      <c r="K27" s="257">
        <v>0</v>
      </c>
      <c r="L27" s="256">
        <v>6</v>
      </c>
      <c r="M27" s="258" t="s">
        <v>8</v>
      </c>
      <c r="N27" s="257">
        <v>0</v>
      </c>
      <c r="O27" s="39"/>
      <c r="X27" s="153" t="str">
        <f t="shared" ref="X27:X33" si="8">IF(L27&gt;N27,C27,"")</f>
        <v>Sokol Šitbořice 1</v>
      </c>
      <c r="Y27" s="153" t="str">
        <f t="shared" ref="Y27:Y33" si="9">IF(L27&lt;N27,E27,"")</f>
        <v/>
      </c>
      <c r="Z27" s="154" t="str">
        <f t="shared" ref="Z27:Z33" si="10">IF(L27&lt;N27,C27,"")</f>
        <v/>
      </c>
      <c r="AA27" s="154" t="str">
        <f t="shared" ref="AA27:AA33" si="11">IF(L27&gt;N27,E27,"")</f>
        <v>Sokol Šitbořice 3</v>
      </c>
    </row>
    <row r="28" spans="1:31" ht="25.95" customHeight="1">
      <c r="A28" s="84" t="s">
        <v>172</v>
      </c>
      <c r="B28" s="36"/>
      <c r="C28" s="125" t="str">
        <f>Q7</f>
        <v>Sokol Šitbořice 2</v>
      </c>
      <c r="D28" s="83" t="s">
        <v>8</v>
      </c>
      <c r="E28" s="127" t="str">
        <f>Q12</f>
        <v>MILO Olomouc 1</v>
      </c>
      <c r="F28" s="254" t="s">
        <v>253</v>
      </c>
      <c r="G28" s="255" t="s">
        <v>19</v>
      </c>
      <c r="H28" s="255" t="s">
        <v>25</v>
      </c>
      <c r="I28" s="256">
        <v>2</v>
      </c>
      <c r="J28" s="259" t="s">
        <v>8</v>
      </c>
      <c r="K28" s="257">
        <v>0</v>
      </c>
      <c r="L28" s="256">
        <v>4</v>
      </c>
      <c r="M28" s="258" t="s">
        <v>8</v>
      </c>
      <c r="N28" s="257">
        <v>1</v>
      </c>
      <c r="O28" s="39"/>
      <c r="X28" s="153" t="str">
        <f t="shared" si="8"/>
        <v>Sokol Šitbořice 2</v>
      </c>
      <c r="Y28" s="153" t="str">
        <f t="shared" si="9"/>
        <v/>
      </c>
      <c r="Z28" s="154" t="str">
        <f t="shared" si="10"/>
        <v/>
      </c>
      <c r="AA28" s="154" t="str">
        <f t="shared" si="11"/>
        <v>MILO Olomouc 1</v>
      </c>
    </row>
    <row r="29" spans="1:31" ht="25.95" customHeight="1">
      <c r="A29" s="84" t="s">
        <v>173</v>
      </c>
      <c r="B29" s="36"/>
      <c r="C29" s="125" t="str">
        <f>Q9</f>
        <v>SC Svitávka</v>
      </c>
      <c r="D29" s="83" t="s">
        <v>8</v>
      </c>
      <c r="E29" s="127" t="str">
        <f>Q13</f>
        <v>MILO Olomouc 2</v>
      </c>
      <c r="F29" s="254" t="s">
        <v>254</v>
      </c>
      <c r="G29" s="255" t="s">
        <v>19</v>
      </c>
      <c r="H29" s="255" t="s">
        <v>25</v>
      </c>
      <c r="I29" s="256">
        <v>1</v>
      </c>
      <c r="J29" s="259" t="s">
        <v>8</v>
      </c>
      <c r="K29" s="257">
        <v>2</v>
      </c>
      <c r="L29" s="256">
        <v>1</v>
      </c>
      <c r="M29" s="258" t="s">
        <v>8</v>
      </c>
      <c r="N29" s="257">
        <v>2</v>
      </c>
      <c r="O29" s="39"/>
      <c r="X29" s="153" t="str">
        <f t="shared" si="8"/>
        <v/>
      </c>
      <c r="Y29" s="153" t="str">
        <f t="shared" si="9"/>
        <v>MILO Olomouc 2</v>
      </c>
      <c r="Z29" s="154" t="str">
        <f t="shared" si="10"/>
        <v>SC Svitávka</v>
      </c>
      <c r="AA29" s="154" t="str">
        <f t="shared" si="11"/>
        <v/>
      </c>
    </row>
    <row r="30" spans="1:31" ht="25.95" customHeight="1">
      <c r="A30" s="84" t="s">
        <v>174</v>
      </c>
      <c r="B30" s="36"/>
      <c r="C30" s="125" t="str">
        <f>Q6</f>
        <v>Sokol Šitbořice 1</v>
      </c>
      <c r="D30" s="83" t="s">
        <v>8</v>
      </c>
      <c r="E30" s="127" t="str">
        <f>Q10</f>
        <v>Sokol Zlín Prštné 1</v>
      </c>
      <c r="F30" s="254" t="s">
        <v>252</v>
      </c>
      <c r="G30" s="255" t="s">
        <v>19</v>
      </c>
      <c r="H30" s="255" t="s">
        <v>25</v>
      </c>
      <c r="I30" s="256">
        <v>1</v>
      </c>
      <c r="J30" s="259" t="s">
        <v>8</v>
      </c>
      <c r="K30" s="257">
        <v>1</v>
      </c>
      <c r="L30" s="256">
        <v>2</v>
      </c>
      <c r="M30" s="258" t="s">
        <v>8</v>
      </c>
      <c r="N30" s="257">
        <v>2</v>
      </c>
      <c r="O30" s="39"/>
      <c r="X30" s="153" t="str">
        <f t="shared" si="8"/>
        <v/>
      </c>
      <c r="Y30" s="153" t="str">
        <f t="shared" si="9"/>
        <v/>
      </c>
      <c r="Z30" s="154" t="str">
        <f t="shared" si="10"/>
        <v/>
      </c>
      <c r="AA30" s="154" t="str">
        <f t="shared" si="11"/>
        <v/>
      </c>
    </row>
    <row r="31" spans="1:31" ht="25.95" customHeight="1">
      <c r="A31" s="84" t="s">
        <v>175</v>
      </c>
      <c r="B31" s="36"/>
      <c r="C31" s="125" t="str">
        <f>Q11</f>
        <v>Sokol Zlín Prštné 2</v>
      </c>
      <c r="D31" s="83" t="s">
        <v>8</v>
      </c>
      <c r="E31" s="127" t="str">
        <f>Q12</f>
        <v>MILO Olomouc 1</v>
      </c>
      <c r="F31" s="254"/>
      <c r="G31" s="255" t="s">
        <v>19</v>
      </c>
      <c r="H31" s="255" t="s">
        <v>25</v>
      </c>
      <c r="I31" s="256"/>
      <c r="J31" s="259" t="s">
        <v>8</v>
      </c>
      <c r="K31" s="257"/>
      <c r="L31" s="256">
        <v>0</v>
      </c>
      <c r="M31" s="258" t="s">
        <v>8</v>
      </c>
      <c r="N31" s="257">
        <v>5</v>
      </c>
      <c r="O31" s="39"/>
      <c r="X31" s="153" t="str">
        <f t="shared" si="8"/>
        <v/>
      </c>
      <c r="Y31" s="153" t="str">
        <f t="shared" si="9"/>
        <v>MILO Olomouc 1</v>
      </c>
      <c r="Z31" s="154" t="str">
        <f t="shared" si="10"/>
        <v>Sokol Zlín Prštné 2</v>
      </c>
      <c r="AA31" s="154" t="str">
        <f t="shared" si="11"/>
        <v/>
      </c>
    </row>
    <row r="32" spans="1:31" ht="25.95" customHeight="1">
      <c r="A32" s="84" t="s">
        <v>176</v>
      </c>
      <c r="B32" s="36"/>
      <c r="C32" s="125" t="str">
        <f>Q8</f>
        <v>Sokol Šitbořice 3</v>
      </c>
      <c r="D32" s="83" t="s">
        <v>8</v>
      </c>
      <c r="E32" s="127" t="str">
        <f>Q13</f>
        <v>MILO Olomouc 2</v>
      </c>
      <c r="F32" s="254" t="s">
        <v>253</v>
      </c>
      <c r="G32" s="255" t="s">
        <v>19</v>
      </c>
      <c r="H32" s="255" t="s">
        <v>25</v>
      </c>
      <c r="I32" s="256">
        <v>0</v>
      </c>
      <c r="J32" s="259" t="s">
        <v>8</v>
      </c>
      <c r="K32" s="257">
        <v>2</v>
      </c>
      <c r="L32" s="256">
        <v>0</v>
      </c>
      <c r="M32" s="258" t="s">
        <v>8</v>
      </c>
      <c r="N32" s="257">
        <v>6</v>
      </c>
      <c r="O32" s="39"/>
      <c r="X32" s="153" t="str">
        <f t="shared" si="8"/>
        <v/>
      </c>
      <c r="Y32" s="153" t="str">
        <f t="shared" si="9"/>
        <v>MILO Olomouc 2</v>
      </c>
      <c r="Z32" s="154" t="str">
        <f t="shared" si="10"/>
        <v>Sokol Šitbořice 3</v>
      </c>
      <c r="AA32" s="154" t="str">
        <f t="shared" si="11"/>
        <v/>
      </c>
    </row>
    <row r="33" spans="1:27" ht="25.95" customHeight="1">
      <c r="A33" s="84" t="s">
        <v>177</v>
      </c>
      <c r="B33" s="36"/>
      <c r="C33" s="125" t="str">
        <f>Q7</f>
        <v>Sokol Šitbořice 2</v>
      </c>
      <c r="D33" s="83" t="s">
        <v>8</v>
      </c>
      <c r="E33" s="127" t="str">
        <f>Q9</f>
        <v>SC Svitávka</v>
      </c>
      <c r="F33" s="254" t="s">
        <v>252</v>
      </c>
      <c r="G33" s="255" t="s">
        <v>19</v>
      </c>
      <c r="H33" s="255" t="s">
        <v>25</v>
      </c>
      <c r="I33" s="256">
        <v>4</v>
      </c>
      <c r="J33" s="259" t="s">
        <v>8</v>
      </c>
      <c r="K33" s="257">
        <v>0</v>
      </c>
      <c r="L33" s="256">
        <v>8</v>
      </c>
      <c r="M33" s="258" t="s">
        <v>8</v>
      </c>
      <c r="N33" s="257">
        <v>0</v>
      </c>
      <c r="O33" s="39"/>
      <c r="X33" s="153" t="str">
        <f t="shared" si="8"/>
        <v>Sokol Šitbořice 2</v>
      </c>
      <c r="Y33" s="153" t="str">
        <f t="shared" si="9"/>
        <v/>
      </c>
      <c r="Z33" s="154" t="str">
        <f t="shared" si="10"/>
        <v/>
      </c>
      <c r="AA33" s="154" t="str">
        <f t="shared" si="11"/>
        <v>SC Svitávka</v>
      </c>
    </row>
    <row r="35" spans="1:27">
      <c r="E35" s="209" t="s">
        <v>3</v>
      </c>
      <c r="F35" s="210" t="s">
        <v>205</v>
      </c>
    </row>
    <row r="36" spans="1:27">
      <c r="E36" s="211"/>
      <c r="F36" s="225">
        <f>COUNTIF($F$6:$F$33,E36)</f>
        <v>0</v>
      </c>
    </row>
    <row r="37" spans="1:27">
      <c r="E37" s="211"/>
      <c r="F37" s="225">
        <f>COUNTIF($F$6:$F$33,E37)</f>
        <v>0</v>
      </c>
    </row>
    <row r="38" spans="1:27">
      <c r="E38" s="211"/>
      <c r="F38" s="225">
        <f>COUNTIF($F$6:$F$33,E38)</f>
        <v>0</v>
      </c>
    </row>
    <row r="39" spans="1:27">
      <c r="E39" s="211"/>
      <c r="F39" s="225">
        <f>COUNTIF($F$6:$F$33,E39)</f>
        <v>0</v>
      </c>
    </row>
    <row r="40" spans="1:27">
      <c r="E40" s="223" t="s">
        <v>207</v>
      </c>
      <c r="F40" s="224">
        <f>SUM(F35:F39)</f>
        <v>0</v>
      </c>
    </row>
  </sheetData>
  <mergeCells count="12">
    <mergeCell ref="I2:K2"/>
    <mergeCell ref="L2:N2"/>
    <mergeCell ref="A2:H2"/>
    <mergeCell ref="S4:S5"/>
    <mergeCell ref="A4:A5"/>
    <mergeCell ref="B4:B5"/>
    <mergeCell ref="C4:C5"/>
    <mergeCell ref="E4:E5"/>
    <mergeCell ref="F4:F5"/>
    <mergeCell ref="G4:H4"/>
    <mergeCell ref="I4:K5"/>
    <mergeCell ref="L4:N5"/>
  </mergeCells>
  <printOptions horizontalCentered="1"/>
  <pageMargins left="0.21" right="0.27559055118110237" top="0.39370078740157483" bottom="0.55118110236220474" header="0.23622047244094491" footer="0.31496062992125984"/>
  <pageSetup paperSize="9" scale="90" orientation="portrait" r:id="rId1"/>
  <headerFooter alignWithMargins="0">
    <oddFooter>&amp;L&amp;F&amp;C&amp;P&amp;R&amp;A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Protokol 8 Teams</vt:lpstr>
      <vt:lpstr>Pořadí zápasů 8 Teams_Spielplan</vt:lpstr>
      <vt:lpstr>'Pořadí zápasů 8 Teams_Spielplan'!Názvy_tisku</vt:lpstr>
      <vt:lpstr>'Pořadí zápasů 8 Teams_Spielplan'!Oblast_tisku</vt:lpstr>
      <vt:lpstr>'Protokol 8 Teams'!Oblast_tisku</vt:lpstr>
    </vt:vector>
  </TitlesOfParts>
  <Company>LVZ, a.s. Liberec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VILD</dc:creator>
  <cp:keywords>Czech Republic</cp:keywords>
  <cp:lastModifiedBy>Josef Vild</cp:lastModifiedBy>
  <cp:lastPrinted>2026-05-06T11:44:51Z</cp:lastPrinted>
  <dcterms:created xsi:type="dcterms:W3CDTF">1998-10-05T17:57:10Z</dcterms:created>
  <dcterms:modified xsi:type="dcterms:W3CDTF">2026-05-19T15:34:54Z</dcterms:modified>
  <cp:category>ELITE Turnaj o II.LIGU</cp:category>
</cp:coreProperties>
</file>